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GT\Calculadoras\"/>
    </mc:Choice>
  </mc:AlternateContent>
  <workbookProtection workbookAlgorithmName="SHA-512" workbookHashValue="u7PS3Jcd6Mo4XKNR4yI2+lZiYAZpzF1YsqDZnSYhAnq+shDBJO0CX3qCNSE24d4+LbGaZtxzd0/zu+NvYvm16A==" workbookSaltValue="9z/b3AAnszuxL4tNEbfNoQ==" workbookSpinCount="100000" lockStructure="1"/>
  <bookViews>
    <workbookView showSheetTabs="0" xWindow="0" yWindow="0" windowWidth="20520" windowHeight="9975" firstSheet="10" activeTab="15"/>
  </bookViews>
  <sheets>
    <sheet name="Orientación Educativa" sheetId="18" r:id="rId1"/>
    <sheet name="Catedráticos EA" sheetId="17" r:id="rId2"/>
    <sheet name="Profesores EA" sheetId="16" r:id="rId3"/>
    <sheet name="Profesores Conservatorios" sheetId="15" r:id="rId4"/>
    <sheet name="Catedráticos Conservatorios" sheetId="14" r:id="rId5"/>
    <sheet name="Profesores EOI" sheetId="13" r:id="rId6"/>
    <sheet name="Datos" sheetId="1" r:id="rId7"/>
    <sheet name="Maestros" sheetId="2" r:id="rId8"/>
    <sheet name="Catedráticos EOI" sheetId="9" r:id="rId9"/>
    <sheet name="Catedráticos Secundaria" sheetId="12" r:id="rId10"/>
    <sheet name="Profesores Secundaria" sheetId="7" r:id="rId11"/>
    <sheet name="Especialistas Sec. Singulares" sheetId="10" r:id="rId12"/>
    <sheet name="PTFP" sheetId="8" r:id="rId13"/>
    <sheet name="Inspectores" sheetId="11" r:id="rId14"/>
    <sheet name="Orientadores" sheetId="3" r:id="rId15"/>
    <sheet name="Inicio" sheetId="4" r:id="rId1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17" l="1"/>
  <c r="L28" i="11"/>
  <c r="L29" i="18"/>
  <c r="L28" i="16"/>
  <c r="L28" i="15"/>
  <c r="L28" i="14"/>
  <c r="L28" i="9"/>
  <c r="L4" i="11"/>
  <c r="L27" i="11"/>
  <c r="L28" i="18"/>
  <c r="L27" i="16"/>
  <c r="L27" i="17"/>
  <c r="L27" i="15"/>
  <c r="L27" i="14"/>
  <c r="L27" i="9"/>
  <c r="L28" i="12"/>
  <c r="L29" i="12" s="1"/>
  <c r="L29" i="7"/>
  <c r="L28" i="7"/>
  <c r="F82" i="1" l="1"/>
  <c r="F102" i="1"/>
  <c r="F85" i="1"/>
  <c r="F90" i="1"/>
  <c r="F89" i="1"/>
  <c r="F61" i="1"/>
  <c r="F60" i="1"/>
  <c r="F56" i="1"/>
  <c r="F55" i="1"/>
  <c r="F50" i="1"/>
  <c r="F35" i="1"/>
  <c r="F13" i="1"/>
  <c r="F12" i="1"/>
  <c r="F11" i="1"/>
  <c r="F10" i="1"/>
  <c r="L10" i="2" l="1"/>
  <c r="L9" i="2"/>
  <c r="L23" i="18"/>
  <c r="M23" i="18" s="1"/>
  <c r="L23" i="8"/>
  <c r="M23" i="8" s="1"/>
  <c r="L23" i="10"/>
  <c r="M23" i="10" s="1"/>
  <c r="L23" i="7"/>
  <c r="M23" i="7" s="1"/>
  <c r="L23" i="12"/>
  <c r="L27" i="2"/>
  <c r="M27" i="2" s="1"/>
  <c r="L26" i="2"/>
  <c r="L23" i="2"/>
  <c r="B96" i="18" l="1"/>
  <c r="B95" i="18"/>
  <c r="B94" i="18"/>
  <c r="B93" i="18"/>
  <c r="B92" i="18"/>
  <c r="C91" i="18" s="1"/>
  <c r="C82" i="18"/>
  <c r="B97" i="18" s="1"/>
  <c r="C78" i="18"/>
  <c r="C77" i="18"/>
  <c r="L76" i="18"/>
  <c r="C76" i="18"/>
  <c r="C75" i="18"/>
  <c r="C74" i="18"/>
  <c r="C73" i="18"/>
  <c r="C72" i="18"/>
  <c r="C71" i="18"/>
  <c r="L69" i="18"/>
  <c r="C69" i="18"/>
  <c r="M51" i="18"/>
  <c r="L46" i="18" s="1"/>
  <c r="L47" i="18"/>
  <c r="L44" i="18"/>
  <c r="M41" i="18"/>
  <c r="L40" i="18" s="1"/>
  <c r="L41" i="18"/>
  <c r="D38" i="18"/>
  <c r="Q36" i="18"/>
  <c r="M49" i="18" s="1"/>
  <c r="L43" i="18" s="1"/>
  <c r="Q35" i="18"/>
  <c r="G34" i="18"/>
  <c r="F34" i="18"/>
  <c r="G33" i="18"/>
  <c r="E33" i="18"/>
  <c r="H32" i="18"/>
  <c r="G32" i="18"/>
  <c r="E32" i="18"/>
  <c r="H31" i="18"/>
  <c r="F31" i="18"/>
  <c r="E31" i="18"/>
  <c r="B31" i="18"/>
  <c r="L30" i="18"/>
  <c r="H30" i="18"/>
  <c r="F30" i="18"/>
  <c r="E30" i="18"/>
  <c r="M29" i="18"/>
  <c r="H29" i="18"/>
  <c r="G29" i="18"/>
  <c r="F29" i="18"/>
  <c r="M28" i="18"/>
  <c r="H28" i="18"/>
  <c r="G28" i="18"/>
  <c r="F28" i="18"/>
  <c r="E28" i="18"/>
  <c r="L26" i="18"/>
  <c r="M26" i="18" s="1"/>
  <c r="D26" i="18"/>
  <c r="D25" i="18"/>
  <c r="L24" i="18"/>
  <c r="D24" i="18"/>
  <c r="L22" i="18"/>
  <c r="M22" i="18" s="1"/>
  <c r="L21" i="18"/>
  <c r="M21" i="18" s="1"/>
  <c r="D21" i="18"/>
  <c r="L25" i="18" s="1"/>
  <c r="M25" i="18" s="1"/>
  <c r="L20" i="18"/>
  <c r="M20" i="18" s="1"/>
  <c r="L19" i="18"/>
  <c r="M19" i="18" s="1"/>
  <c r="J19" i="18"/>
  <c r="L18" i="18"/>
  <c r="M18" i="18" s="1"/>
  <c r="J18" i="18"/>
  <c r="L17" i="18"/>
  <c r="M17" i="18" s="1"/>
  <c r="J17" i="18"/>
  <c r="L16" i="18"/>
  <c r="M16" i="18" s="1"/>
  <c r="J16" i="18"/>
  <c r="L15" i="18"/>
  <c r="M15" i="18" s="1"/>
  <c r="J15" i="18"/>
  <c r="L14" i="18"/>
  <c r="M14" i="18" s="1"/>
  <c r="N13" i="18"/>
  <c r="L13" i="18"/>
  <c r="M13" i="18" s="1"/>
  <c r="L12" i="18"/>
  <c r="M12" i="18" s="1"/>
  <c r="D12" i="18"/>
  <c r="G30" i="18" s="1"/>
  <c r="L11" i="18"/>
  <c r="M11" i="18" s="1"/>
  <c r="L10" i="18"/>
  <c r="M10" i="18" s="1"/>
  <c r="B10" i="18"/>
  <c r="B9" i="18"/>
  <c r="B8" i="18"/>
  <c r="B7" i="18"/>
  <c r="B6" i="18"/>
  <c r="B96" i="17"/>
  <c r="B95" i="17"/>
  <c r="B94" i="17"/>
  <c r="B93" i="17"/>
  <c r="C81" i="17"/>
  <c r="B92" i="17" s="1"/>
  <c r="C77" i="17"/>
  <c r="C76" i="17"/>
  <c r="L75" i="17"/>
  <c r="C75" i="17"/>
  <c r="L44" i="17" s="1"/>
  <c r="C74" i="17"/>
  <c r="C73" i="17"/>
  <c r="C72" i="17"/>
  <c r="C71" i="17"/>
  <c r="C70" i="17"/>
  <c r="L68" i="17"/>
  <c r="C68" i="17"/>
  <c r="M50" i="17"/>
  <c r="M48" i="17"/>
  <c r="L46" i="17"/>
  <c r="L45" i="17"/>
  <c r="L43" i="17"/>
  <c r="L42" i="17"/>
  <c r="L41" i="17"/>
  <c r="M40" i="17"/>
  <c r="L39" i="17" s="1"/>
  <c r="L40" i="17"/>
  <c r="L47" i="17" s="1"/>
  <c r="D37" i="17"/>
  <c r="Q35" i="17"/>
  <c r="Q34" i="17"/>
  <c r="F33" i="17"/>
  <c r="E32" i="17"/>
  <c r="H31" i="17"/>
  <c r="G31" i="17"/>
  <c r="E31" i="17"/>
  <c r="H30" i="17"/>
  <c r="F30" i="17"/>
  <c r="E30" i="17"/>
  <c r="B30" i="17"/>
  <c r="L29" i="17"/>
  <c r="H29" i="17"/>
  <c r="F29" i="17"/>
  <c r="M28" i="17"/>
  <c r="H28" i="17"/>
  <c r="F28" i="17"/>
  <c r="M27" i="17"/>
  <c r="H27" i="17"/>
  <c r="G27" i="17"/>
  <c r="F27" i="17"/>
  <c r="L25" i="17"/>
  <c r="M25" i="17" s="1"/>
  <c r="D25" i="17"/>
  <c r="D24" i="17"/>
  <c r="L23" i="17"/>
  <c r="M23" i="17" s="1"/>
  <c r="D23" i="17"/>
  <c r="L22" i="17"/>
  <c r="M22" i="17" s="1"/>
  <c r="L21" i="17"/>
  <c r="M21" i="17" s="1"/>
  <c r="D21" i="17"/>
  <c r="L24" i="17" s="1"/>
  <c r="M24" i="17" s="1"/>
  <c r="L20" i="17"/>
  <c r="M20" i="17" s="1"/>
  <c r="L19" i="17"/>
  <c r="M19" i="17" s="1"/>
  <c r="J19" i="17"/>
  <c r="L18" i="17"/>
  <c r="M18" i="17" s="1"/>
  <c r="J18" i="17"/>
  <c r="L17" i="17"/>
  <c r="M17" i="17" s="1"/>
  <c r="J17" i="17"/>
  <c r="L16" i="17"/>
  <c r="M16" i="17" s="1"/>
  <c r="J16" i="17"/>
  <c r="L15" i="17"/>
  <c r="M15" i="17" s="1"/>
  <c r="L14" i="17"/>
  <c r="M14" i="17" s="1"/>
  <c r="N13" i="17"/>
  <c r="L13" i="17"/>
  <c r="M13" i="17" s="1"/>
  <c r="L12" i="17"/>
  <c r="M12" i="17" s="1"/>
  <c r="D12" i="17"/>
  <c r="G28" i="17" s="1"/>
  <c r="L11" i="17"/>
  <c r="M11" i="17" s="1"/>
  <c r="L10" i="17"/>
  <c r="M10" i="17" s="1"/>
  <c r="B10" i="17"/>
  <c r="L9" i="17"/>
  <c r="B9" i="17"/>
  <c r="B8" i="17"/>
  <c r="B7" i="17"/>
  <c r="B6" i="17"/>
  <c r="B95" i="16"/>
  <c r="B94" i="16"/>
  <c r="B93" i="16"/>
  <c r="C81" i="16"/>
  <c r="B92" i="16" s="1"/>
  <c r="C77" i="16"/>
  <c r="C76" i="16"/>
  <c r="L75" i="16"/>
  <c r="C75" i="16"/>
  <c r="C74" i="16"/>
  <c r="C73" i="16"/>
  <c r="C72" i="16"/>
  <c r="C71" i="16"/>
  <c r="C70" i="16"/>
  <c r="L68" i="16"/>
  <c r="C68" i="16"/>
  <c r="M50" i="16"/>
  <c r="L46" i="16"/>
  <c r="L45" i="16"/>
  <c r="L43" i="16"/>
  <c r="M40" i="16"/>
  <c r="L39" i="16" s="1"/>
  <c r="L40" i="16"/>
  <c r="D37" i="16"/>
  <c r="Q35" i="16"/>
  <c r="M48" i="16" s="1"/>
  <c r="L42" i="16" s="1"/>
  <c r="Q34" i="16"/>
  <c r="G33" i="16"/>
  <c r="F33" i="16"/>
  <c r="G32" i="16"/>
  <c r="E32" i="16"/>
  <c r="H31" i="16"/>
  <c r="G31" i="16"/>
  <c r="E31" i="16"/>
  <c r="H30" i="16"/>
  <c r="F30" i="16"/>
  <c r="E30" i="16"/>
  <c r="B30" i="16"/>
  <c r="L29" i="16"/>
  <c r="L38" i="16" s="1"/>
  <c r="H29" i="16"/>
  <c r="F29" i="16"/>
  <c r="E29" i="16"/>
  <c r="M28" i="16"/>
  <c r="H28" i="16"/>
  <c r="F28" i="16"/>
  <c r="M27" i="16"/>
  <c r="H27" i="16"/>
  <c r="G27" i="16"/>
  <c r="F27" i="16"/>
  <c r="L25" i="16"/>
  <c r="M25" i="16" s="1"/>
  <c r="D25" i="16"/>
  <c r="D24" i="16"/>
  <c r="L23" i="16"/>
  <c r="M23" i="16" s="1"/>
  <c r="D23" i="16"/>
  <c r="L22" i="16"/>
  <c r="M22" i="16" s="1"/>
  <c r="L21" i="16"/>
  <c r="M21" i="16" s="1"/>
  <c r="D21" i="16"/>
  <c r="L24" i="16" s="1"/>
  <c r="M24" i="16" s="1"/>
  <c r="L20" i="16"/>
  <c r="M20" i="16" s="1"/>
  <c r="M19" i="16"/>
  <c r="M18" i="16"/>
  <c r="M17" i="16"/>
  <c r="L15" i="16"/>
  <c r="M15" i="16" s="1"/>
  <c r="L14" i="16"/>
  <c r="M14" i="16" s="1"/>
  <c r="N13" i="16"/>
  <c r="L13" i="16"/>
  <c r="M13" i="16" s="1"/>
  <c r="L12" i="16"/>
  <c r="M12" i="16" s="1"/>
  <c r="D12" i="16"/>
  <c r="G28" i="16" s="1"/>
  <c r="L11" i="16"/>
  <c r="M11" i="16" s="1"/>
  <c r="L10" i="16"/>
  <c r="M10" i="16" s="1"/>
  <c r="B10" i="16"/>
  <c r="L9" i="16"/>
  <c r="B9" i="16"/>
  <c r="B8" i="16"/>
  <c r="B7" i="16"/>
  <c r="B6" i="16"/>
  <c r="B96" i="15"/>
  <c r="B95" i="15"/>
  <c r="B94" i="15"/>
  <c r="B93" i="15"/>
  <c r="B92" i="15"/>
  <c r="C81" i="15"/>
  <c r="B91" i="15" s="1"/>
  <c r="C90" i="15" s="1"/>
  <c r="C77" i="15"/>
  <c r="C76" i="15"/>
  <c r="L75" i="15"/>
  <c r="C75" i="15"/>
  <c r="C74" i="15"/>
  <c r="C73" i="15"/>
  <c r="C72" i="15"/>
  <c r="C71" i="15"/>
  <c r="C70" i="15"/>
  <c r="L68" i="15"/>
  <c r="C68" i="15"/>
  <c r="M50" i="15"/>
  <c r="L46" i="15"/>
  <c r="L45" i="15"/>
  <c r="L43" i="15"/>
  <c r="M40" i="15"/>
  <c r="L39" i="15" s="1"/>
  <c r="L40" i="15"/>
  <c r="D37" i="15"/>
  <c r="Q35" i="15"/>
  <c r="M48" i="15" s="1"/>
  <c r="L42" i="15" s="1"/>
  <c r="Q34" i="15"/>
  <c r="G33" i="15"/>
  <c r="F33" i="15"/>
  <c r="G32" i="15"/>
  <c r="E32" i="15"/>
  <c r="H31" i="15"/>
  <c r="G31" i="15"/>
  <c r="E31" i="15"/>
  <c r="H30" i="15"/>
  <c r="F30" i="15"/>
  <c r="E30" i="15"/>
  <c r="B30" i="15"/>
  <c r="L29" i="15"/>
  <c r="H29" i="15"/>
  <c r="F29" i="15"/>
  <c r="E29" i="15"/>
  <c r="M28" i="15"/>
  <c r="H28" i="15"/>
  <c r="G28" i="15"/>
  <c r="F28" i="15"/>
  <c r="M27" i="15"/>
  <c r="H27" i="15"/>
  <c r="G27" i="15"/>
  <c r="F27" i="15"/>
  <c r="E27" i="15"/>
  <c r="L25" i="15"/>
  <c r="M25" i="15" s="1"/>
  <c r="D25" i="15"/>
  <c r="D24" i="15"/>
  <c r="L23" i="15"/>
  <c r="M23" i="15" s="1"/>
  <c r="D23" i="15"/>
  <c r="L22" i="15"/>
  <c r="M22" i="15" s="1"/>
  <c r="L21" i="15"/>
  <c r="M21" i="15" s="1"/>
  <c r="D21" i="15"/>
  <c r="L24" i="15" s="1"/>
  <c r="M24" i="15" s="1"/>
  <c r="L20" i="15"/>
  <c r="M20" i="15" s="1"/>
  <c r="M19" i="15"/>
  <c r="M18" i="15"/>
  <c r="M17" i="15"/>
  <c r="L15" i="15"/>
  <c r="M15" i="15" s="1"/>
  <c r="L14" i="15"/>
  <c r="M14" i="15" s="1"/>
  <c r="N13" i="15"/>
  <c r="L13" i="15"/>
  <c r="M13" i="15" s="1"/>
  <c r="L12" i="15"/>
  <c r="M12" i="15" s="1"/>
  <c r="D12" i="15"/>
  <c r="G29" i="15" s="1"/>
  <c r="L11" i="15"/>
  <c r="M11" i="15" s="1"/>
  <c r="L10" i="15"/>
  <c r="M10" i="15" s="1"/>
  <c r="B10" i="15"/>
  <c r="B9" i="15"/>
  <c r="B8" i="15"/>
  <c r="B7" i="15"/>
  <c r="B6" i="15"/>
  <c r="B93" i="14"/>
  <c r="C81" i="14"/>
  <c r="B92" i="14" s="1"/>
  <c r="C77" i="14"/>
  <c r="C76" i="14"/>
  <c r="L75" i="14"/>
  <c r="C75" i="14"/>
  <c r="C74" i="14"/>
  <c r="L44" i="14" s="1"/>
  <c r="C73" i="14"/>
  <c r="C72" i="14"/>
  <c r="C71" i="14"/>
  <c r="C70" i="14"/>
  <c r="L68" i="14"/>
  <c r="C68" i="14"/>
  <c r="M50" i="14"/>
  <c r="M48" i="14"/>
  <c r="L42" i="14" s="1"/>
  <c r="L46" i="14"/>
  <c r="L45" i="14"/>
  <c r="L43" i="14"/>
  <c r="L41" i="14"/>
  <c r="M40" i="14"/>
  <c r="L39" i="14" s="1"/>
  <c r="L40" i="14"/>
  <c r="D37" i="14"/>
  <c r="Q35" i="14"/>
  <c r="Q34" i="14"/>
  <c r="F33" i="14"/>
  <c r="E32" i="14"/>
  <c r="H31" i="14"/>
  <c r="E31" i="14"/>
  <c r="H30" i="14"/>
  <c r="F30" i="14"/>
  <c r="B30" i="14"/>
  <c r="L29" i="14"/>
  <c r="H29" i="14"/>
  <c r="F29" i="14"/>
  <c r="H28" i="14"/>
  <c r="F28" i="14"/>
  <c r="M27" i="14"/>
  <c r="H27" i="14"/>
  <c r="F27" i="14"/>
  <c r="L25" i="14"/>
  <c r="M25" i="14" s="1"/>
  <c r="D25" i="14"/>
  <c r="D24" i="14"/>
  <c r="L23" i="14"/>
  <c r="M23" i="14" s="1"/>
  <c r="D23" i="14"/>
  <c r="L22" i="14"/>
  <c r="M22" i="14" s="1"/>
  <c r="L21" i="14"/>
  <c r="M21" i="14" s="1"/>
  <c r="D21" i="14"/>
  <c r="L24" i="14" s="1"/>
  <c r="M24" i="14" s="1"/>
  <c r="L20" i="14"/>
  <c r="M20" i="14" s="1"/>
  <c r="L19" i="14"/>
  <c r="M19" i="14" s="1"/>
  <c r="J19" i="14"/>
  <c r="L18" i="14"/>
  <c r="M18" i="14" s="1"/>
  <c r="J18" i="14"/>
  <c r="L17" i="14"/>
  <c r="M17" i="14" s="1"/>
  <c r="J17" i="14"/>
  <c r="L16" i="14"/>
  <c r="M16" i="14" s="1"/>
  <c r="J16" i="14"/>
  <c r="L14" i="14"/>
  <c r="M14" i="14" s="1"/>
  <c r="N13" i="14"/>
  <c r="L13" i="14"/>
  <c r="M13" i="14" s="1"/>
  <c r="L12" i="14"/>
  <c r="M12" i="14" s="1"/>
  <c r="D12" i="14"/>
  <c r="G28" i="14" s="1"/>
  <c r="L10" i="14"/>
  <c r="M10" i="14" s="1"/>
  <c r="B10" i="14"/>
  <c r="L9" i="14"/>
  <c r="B9" i="14"/>
  <c r="B8" i="14"/>
  <c r="B7" i="14"/>
  <c r="B6" i="14"/>
  <c r="L15" i="13"/>
  <c r="M15" i="13" s="1"/>
  <c r="B96" i="13"/>
  <c r="B95" i="13"/>
  <c r="B94" i="13"/>
  <c r="B93" i="13"/>
  <c r="B92" i="13"/>
  <c r="B91" i="13"/>
  <c r="C90" i="13" s="1"/>
  <c r="C81" i="13"/>
  <c r="C77" i="13"/>
  <c r="C76" i="13"/>
  <c r="L75" i="13"/>
  <c r="C75" i="13"/>
  <c r="C74" i="13"/>
  <c r="C73" i="13"/>
  <c r="C72" i="13"/>
  <c r="C71" i="13"/>
  <c r="C70" i="13"/>
  <c r="L68" i="13"/>
  <c r="C68" i="13"/>
  <c r="M50" i="13"/>
  <c r="L46" i="13"/>
  <c r="L45" i="13"/>
  <c r="L43" i="13"/>
  <c r="M40" i="13"/>
  <c r="L40" i="13"/>
  <c r="L39" i="13"/>
  <c r="D37" i="13"/>
  <c r="Q35" i="13"/>
  <c r="M48" i="13" s="1"/>
  <c r="L42" i="13" s="1"/>
  <c r="Q34" i="13"/>
  <c r="F33" i="13"/>
  <c r="E32" i="13"/>
  <c r="H31" i="13"/>
  <c r="E31" i="13"/>
  <c r="H30" i="13"/>
  <c r="F30" i="13"/>
  <c r="B30" i="13"/>
  <c r="L29" i="13"/>
  <c r="L38" i="13" s="1"/>
  <c r="H29" i="13"/>
  <c r="F29" i="13"/>
  <c r="M28" i="13"/>
  <c r="H28" i="13"/>
  <c r="F28" i="13"/>
  <c r="M27" i="13"/>
  <c r="H27" i="13"/>
  <c r="F27" i="13"/>
  <c r="L25" i="13"/>
  <c r="M25" i="13" s="1"/>
  <c r="D25" i="13"/>
  <c r="D24" i="13"/>
  <c r="L23" i="13"/>
  <c r="M23" i="13" s="1"/>
  <c r="D23" i="13"/>
  <c r="L22" i="13"/>
  <c r="M22" i="13" s="1"/>
  <c r="L21" i="13"/>
  <c r="M21" i="13" s="1"/>
  <c r="D21" i="13"/>
  <c r="L20" i="13"/>
  <c r="M20" i="13" s="1"/>
  <c r="M19" i="13"/>
  <c r="M18" i="13"/>
  <c r="M17" i="13"/>
  <c r="L14" i="13"/>
  <c r="M14" i="13" s="1"/>
  <c r="N13" i="13"/>
  <c r="L10" i="13" s="1"/>
  <c r="M10" i="13" s="1"/>
  <c r="L13" i="13"/>
  <c r="M13" i="13" s="1"/>
  <c r="L12" i="13"/>
  <c r="M12" i="13" s="1"/>
  <c r="D12" i="13"/>
  <c r="G29" i="13" s="1"/>
  <c r="L11" i="13"/>
  <c r="M11" i="13" s="1"/>
  <c r="B10" i="13"/>
  <c r="B9" i="13"/>
  <c r="B8" i="13"/>
  <c r="B7" i="13"/>
  <c r="B6" i="13"/>
  <c r="C82" i="12"/>
  <c r="B97" i="12" s="1"/>
  <c r="C78" i="12"/>
  <c r="C77" i="12"/>
  <c r="L76" i="12"/>
  <c r="C76" i="12"/>
  <c r="C75" i="12"/>
  <c r="C74" i="12"/>
  <c r="C73" i="12"/>
  <c r="C72" i="12"/>
  <c r="C71" i="12"/>
  <c r="L42" i="12" s="1"/>
  <c r="L69" i="12"/>
  <c r="C69" i="12"/>
  <c r="M51" i="12"/>
  <c r="M49" i="12"/>
  <c r="L47" i="12"/>
  <c r="L46" i="12"/>
  <c r="L45" i="12"/>
  <c r="L44" i="12"/>
  <c r="L43" i="12"/>
  <c r="M41" i="12"/>
  <c r="L41" i="12"/>
  <c r="L40" i="12"/>
  <c r="D38" i="12"/>
  <c r="Q35" i="12"/>
  <c r="Q36" i="12" s="1"/>
  <c r="F34" i="12"/>
  <c r="E33" i="12"/>
  <c r="H32" i="12"/>
  <c r="E32" i="12"/>
  <c r="L31" i="12"/>
  <c r="H31" i="12"/>
  <c r="F31" i="12"/>
  <c r="B31" i="12"/>
  <c r="L30" i="12"/>
  <c r="H30" i="12"/>
  <c r="F30" i="12"/>
  <c r="M29" i="12"/>
  <c r="H29" i="12"/>
  <c r="F29" i="12"/>
  <c r="M28" i="12"/>
  <c r="H28" i="12"/>
  <c r="F28" i="12"/>
  <c r="L26" i="12"/>
  <c r="M26" i="12" s="1"/>
  <c r="D26" i="12"/>
  <c r="D25" i="12"/>
  <c r="L24" i="12"/>
  <c r="M24" i="12" s="1"/>
  <c r="D24" i="12"/>
  <c r="L22" i="12"/>
  <c r="M22" i="12" s="1"/>
  <c r="L21" i="12"/>
  <c r="M21" i="12" s="1"/>
  <c r="D21" i="12"/>
  <c r="L25" i="12" s="1"/>
  <c r="M25" i="12" s="1"/>
  <c r="L20" i="12"/>
  <c r="M20" i="12" s="1"/>
  <c r="L19" i="12"/>
  <c r="M19" i="12" s="1"/>
  <c r="J19" i="12"/>
  <c r="L18" i="12"/>
  <c r="M18" i="12" s="1"/>
  <c r="J18" i="12"/>
  <c r="L17" i="12"/>
  <c r="M17" i="12" s="1"/>
  <c r="J17" i="12"/>
  <c r="L16" i="12"/>
  <c r="M16" i="12" s="1"/>
  <c r="J16" i="12"/>
  <c r="L15" i="12"/>
  <c r="M15" i="12" s="1"/>
  <c r="J15" i="12"/>
  <c r="L14" i="12"/>
  <c r="M14" i="12" s="1"/>
  <c r="N13" i="12"/>
  <c r="L13" i="12"/>
  <c r="M13" i="12" s="1"/>
  <c r="L12" i="12"/>
  <c r="M12" i="12" s="1"/>
  <c r="D12" i="12"/>
  <c r="G30" i="12" s="1"/>
  <c r="L11" i="12"/>
  <c r="M11" i="12" s="1"/>
  <c r="L10" i="12"/>
  <c r="M10" i="12" s="1"/>
  <c r="B10" i="12"/>
  <c r="L9" i="12"/>
  <c r="B9" i="12"/>
  <c r="B8" i="12"/>
  <c r="B7" i="12"/>
  <c r="B6" i="12"/>
  <c r="G25" i="1"/>
  <c r="G31" i="1"/>
  <c r="G35" i="1"/>
  <c r="G50" i="1"/>
  <c r="G55" i="1"/>
  <c r="G56" i="1"/>
  <c r="G60" i="1"/>
  <c r="G61" i="1"/>
  <c r="G78" i="1"/>
  <c r="G93" i="1"/>
  <c r="G101" i="1"/>
  <c r="G106" i="1"/>
  <c r="G117" i="1"/>
  <c r="G118" i="1"/>
  <c r="G119" i="1"/>
  <c r="G120" i="1"/>
  <c r="G121" i="1"/>
  <c r="G10" i="1"/>
  <c r="G11" i="1"/>
  <c r="G12" i="1"/>
  <c r="L8" i="17" s="1"/>
  <c r="M8" i="17" s="1"/>
  <c r="G13" i="1"/>
  <c r="L8" i="16" s="1"/>
  <c r="M8" i="16" s="1"/>
  <c r="L38" i="17" l="1"/>
  <c r="L39" i="12"/>
  <c r="L39" i="18"/>
  <c r="L38" i="15"/>
  <c r="L41" i="15"/>
  <c r="L44" i="15"/>
  <c r="L41" i="16"/>
  <c r="L44" i="16"/>
  <c r="L47" i="16" s="1"/>
  <c r="L8" i="13"/>
  <c r="M8" i="13" s="1"/>
  <c r="L8" i="15"/>
  <c r="M8" i="15" s="1"/>
  <c r="L8" i="18"/>
  <c r="M8" i="18" s="1"/>
  <c r="L8" i="14"/>
  <c r="M8" i="14" s="1"/>
  <c r="L8" i="12"/>
  <c r="M8" i="12" s="1"/>
  <c r="L44" i="13"/>
  <c r="L41" i="13"/>
  <c r="L42" i="18"/>
  <c r="L45" i="18"/>
  <c r="G31" i="18"/>
  <c r="E29" i="18"/>
  <c r="G32" i="17"/>
  <c r="E29" i="17"/>
  <c r="G33" i="17"/>
  <c r="G30" i="17"/>
  <c r="E28" i="17"/>
  <c r="G29" i="17"/>
  <c r="B91" i="17"/>
  <c r="C90" i="17" s="1"/>
  <c r="E27" i="17"/>
  <c r="L16" i="16"/>
  <c r="B96" i="16"/>
  <c r="G30" i="16"/>
  <c r="E28" i="16"/>
  <c r="G29" i="16"/>
  <c r="B91" i="16"/>
  <c r="C90" i="16" s="1"/>
  <c r="E27" i="16"/>
  <c r="L16" i="15"/>
  <c r="M16" i="15" s="1"/>
  <c r="G30" i="15"/>
  <c r="E28" i="15"/>
  <c r="L47" i="14"/>
  <c r="L15" i="14"/>
  <c r="M15" i="14" s="1"/>
  <c r="G27" i="14"/>
  <c r="G31" i="14"/>
  <c r="B94" i="14"/>
  <c r="E30" i="14"/>
  <c r="B95" i="14"/>
  <c r="E29" i="14"/>
  <c r="G33" i="14"/>
  <c r="B96" i="14"/>
  <c r="G32" i="14"/>
  <c r="G30" i="14"/>
  <c r="E28" i="14"/>
  <c r="G29" i="14"/>
  <c r="B91" i="14"/>
  <c r="C90" i="14" s="1"/>
  <c r="E27" i="14"/>
  <c r="L11" i="14" s="1"/>
  <c r="M11" i="14" s="1"/>
  <c r="G28" i="13"/>
  <c r="G31" i="13"/>
  <c r="G33" i="13"/>
  <c r="E27" i="13"/>
  <c r="L16" i="13" s="1"/>
  <c r="E30" i="13"/>
  <c r="G27" i="13"/>
  <c r="E29" i="13"/>
  <c r="G32" i="13"/>
  <c r="G30" i="13"/>
  <c r="E28" i="13"/>
  <c r="L48" i="12"/>
  <c r="E28" i="12"/>
  <c r="G29" i="12"/>
  <c r="B93" i="12"/>
  <c r="G33" i="12"/>
  <c r="B94" i="12"/>
  <c r="B92" i="12"/>
  <c r="C91" i="12" s="1"/>
  <c r="G28" i="12"/>
  <c r="G32" i="12"/>
  <c r="B95" i="12"/>
  <c r="E31" i="12"/>
  <c r="B96" i="12"/>
  <c r="E30" i="12"/>
  <c r="G34" i="12"/>
  <c r="G31" i="12"/>
  <c r="E29" i="12"/>
  <c r="F108" i="1"/>
  <c r="G108" i="1" s="1"/>
  <c r="F109" i="1"/>
  <c r="G109" i="1" s="1"/>
  <c r="F110" i="1"/>
  <c r="G110" i="1" s="1"/>
  <c r="F111" i="1"/>
  <c r="G111" i="1" s="1"/>
  <c r="F112" i="1"/>
  <c r="G112" i="1" s="1"/>
  <c r="F113" i="1"/>
  <c r="G113" i="1" s="1"/>
  <c r="F114" i="1"/>
  <c r="G114" i="1" s="1"/>
  <c r="F115" i="1"/>
  <c r="G115" i="1" s="1"/>
  <c r="F116" i="1"/>
  <c r="G116" i="1" s="1"/>
  <c r="F107" i="1"/>
  <c r="G107" i="1" s="1"/>
  <c r="F95" i="1"/>
  <c r="G95" i="1" s="1"/>
  <c r="F96" i="1"/>
  <c r="G96" i="1" s="1"/>
  <c r="F97" i="1"/>
  <c r="G97" i="1" s="1"/>
  <c r="F98" i="1"/>
  <c r="G98" i="1" s="1"/>
  <c r="F99" i="1"/>
  <c r="G99" i="1" s="1"/>
  <c r="G102" i="1"/>
  <c r="F94" i="1"/>
  <c r="G94" i="1" s="1"/>
  <c r="F80" i="1"/>
  <c r="G80" i="1" s="1"/>
  <c r="F81" i="1"/>
  <c r="G81" i="1" s="1"/>
  <c r="G82" i="1"/>
  <c r="F83" i="1"/>
  <c r="G83" i="1" s="1"/>
  <c r="F84" i="1"/>
  <c r="G84" i="1" s="1"/>
  <c r="G85" i="1"/>
  <c r="F88" i="1"/>
  <c r="G88" i="1" s="1"/>
  <c r="G89" i="1"/>
  <c r="G90" i="1"/>
  <c r="F79" i="1"/>
  <c r="G79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1" i="1"/>
  <c r="G51" i="1" s="1"/>
  <c r="F52" i="1"/>
  <c r="G52" i="1" s="1"/>
  <c r="F53" i="1"/>
  <c r="G53" i="1" s="1"/>
  <c r="F54" i="1"/>
  <c r="G54" i="1" s="1"/>
  <c r="F57" i="1"/>
  <c r="G57" i="1" s="1"/>
  <c r="F58" i="1"/>
  <c r="G58" i="1" s="1"/>
  <c r="F59" i="1"/>
  <c r="G59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36" i="1"/>
  <c r="G36" i="1" s="1"/>
  <c r="F34" i="1"/>
  <c r="G34" i="1" s="1"/>
  <c r="F33" i="1"/>
  <c r="G33" i="1" s="1"/>
  <c r="F32" i="1"/>
  <c r="G32" i="1" s="1"/>
  <c r="F7" i="1"/>
  <c r="G7" i="1" s="1"/>
  <c r="F16" i="1"/>
  <c r="G16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L47" i="15" l="1"/>
  <c r="L49" i="15" s="1"/>
  <c r="L54" i="15" s="1"/>
  <c r="D32" i="16"/>
  <c r="D33" i="12"/>
  <c r="D33" i="18"/>
  <c r="D32" i="17"/>
  <c r="D32" i="13"/>
  <c r="D32" i="15"/>
  <c r="D32" i="14"/>
  <c r="V7" i="13"/>
  <c r="V7" i="12"/>
  <c r="V7" i="16"/>
  <c r="V7" i="15"/>
  <c r="V7" i="17"/>
  <c r="V7" i="18"/>
  <c r="V7" i="14"/>
  <c r="W4" i="16"/>
  <c r="W4" i="13"/>
  <c r="W4" i="18"/>
  <c r="W4" i="17"/>
  <c r="W4" i="14"/>
  <c r="W4" i="15"/>
  <c r="W4" i="12"/>
  <c r="D31" i="15"/>
  <c r="D31" i="14"/>
  <c r="D32" i="12"/>
  <c r="D31" i="16"/>
  <c r="D32" i="18"/>
  <c r="D31" i="17"/>
  <c r="D31" i="13"/>
  <c r="D30" i="16"/>
  <c r="D30" i="13"/>
  <c r="D31" i="18"/>
  <c r="D30" i="17"/>
  <c r="D30" i="14"/>
  <c r="D30" i="15"/>
  <c r="D31" i="12"/>
  <c r="D29" i="14"/>
  <c r="D30" i="12"/>
  <c r="D29" i="15"/>
  <c r="D30" i="18"/>
  <c r="D29" i="13"/>
  <c r="D29" i="17"/>
  <c r="D29" i="16"/>
  <c r="V9" i="18"/>
  <c r="V9" i="15"/>
  <c r="V9" i="12"/>
  <c r="V9" i="13"/>
  <c r="V9" i="16"/>
  <c r="V9" i="14"/>
  <c r="V9" i="17"/>
  <c r="D36" i="17"/>
  <c r="D37" i="12"/>
  <c r="D36" i="13"/>
  <c r="D36" i="15"/>
  <c r="D36" i="14"/>
  <c r="D36" i="16"/>
  <c r="D37" i="18"/>
  <c r="D28" i="15"/>
  <c r="D29" i="12"/>
  <c r="D28" i="13"/>
  <c r="D28" i="17"/>
  <c r="D28" i="16"/>
  <c r="D29" i="18"/>
  <c r="D28" i="14"/>
  <c r="D27" i="14"/>
  <c r="D28" i="12"/>
  <c r="D27" i="17"/>
  <c r="D28" i="18"/>
  <c r="D27" i="13"/>
  <c r="D27" i="15"/>
  <c r="D27" i="16"/>
  <c r="W7" i="16"/>
  <c r="W7" i="12"/>
  <c r="W7" i="17"/>
  <c r="W7" i="18"/>
  <c r="W7" i="14"/>
  <c r="W7" i="15"/>
  <c r="W7" i="13"/>
  <c r="W9" i="15"/>
  <c r="W9" i="12"/>
  <c r="W9" i="16"/>
  <c r="W9" i="13"/>
  <c r="W9" i="18"/>
  <c r="W9" i="17"/>
  <c r="W9" i="14"/>
  <c r="W8" i="12"/>
  <c r="W8" i="17"/>
  <c r="W8" i="13"/>
  <c r="W8" i="18"/>
  <c r="W8" i="14"/>
  <c r="W8" i="15"/>
  <c r="W8" i="16"/>
  <c r="D35" i="16"/>
  <c r="D35" i="14"/>
  <c r="D36" i="18"/>
  <c r="D36" i="12"/>
  <c r="D35" i="13"/>
  <c r="D35" i="17"/>
  <c r="D35" i="15"/>
  <c r="V8" i="17"/>
  <c r="V8" i="18"/>
  <c r="V8" i="14"/>
  <c r="V8" i="15"/>
  <c r="V8" i="13"/>
  <c r="V8" i="12"/>
  <c r="V8" i="16"/>
  <c r="D35" i="12"/>
  <c r="D34" i="16"/>
  <c r="D34" i="14"/>
  <c r="D35" i="18"/>
  <c r="D34" i="17"/>
  <c r="D34" i="13"/>
  <c r="D34" i="15"/>
  <c r="D33" i="13"/>
  <c r="D33" i="15"/>
  <c r="D33" i="14"/>
  <c r="D33" i="16"/>
  <c r="D34" i="12"/>
  <c r="D34" i="18"/>
  <c r="D33" i="17"/>
  <c r="L47" i="13"/>
  <c r="L48" i="18"/>
  <c r="M16" i="16"/>
  <c r="L49" i="16"/>
  <c r="L54" i="16" s="1"/>
  <c r="M16" i="13"/>
  <c r="L24" i="13"/>
  <c r="M24" i="13" s="1"/>
  <c r="E148" i="11"/>
  <c r="E137" i="11"/>
  <c r="E138" i="11"/>
  <c r="E139" i="11"/>
  <c r="E140" i="11"/>
  <c r="E141" i="11"/>
  <c r="E142" i="11"/>
  <c r="E143" i="11"/>
  <c r="E144" i="11"/>
  <c r="E145" i="11"/>
  <c r="E146" i="11"/>
  <c r="E147" i="11"/>
  <c r="E134" i="11"/>
  <c r="E135" i="11"/>
  <c r="E136" i="11"/>
  <c r="E133" i="11"/>
  <c r="G134" i="11"/>
  <c r="G135" i="11"/>
  <c r="G136" i="11"/>
  <c r="G137" i="11"/>
  <c r="G138" i="11"/>
  <c r="G139" i="11"/>
  <c r="G140" i="11"/>
  <c r="G141" i="11"/>
  <c r="G142" i="11"/>
  <c r="G143" i="11"/>
  <c r="G144" i="11"/>
  <c r="G145" i="11"/>
  <c r="G146" i="11"/>
  <c r="G147" i="11"/>
  <c r="G148" i="11"/>
  <c r="G133" i="11"/>
  <c r="I136" i="11" l="1"/>
  <c r="I146" i="11"/>
  <c r="I138" i="11"/>
  <c r="I145" i="11"/>
  <c r="I137" i="11"/>
  <c r="I144" i="11"/>
  <c r="I148" i="11"/>
  <c r="I141" i="11"/>
  <c r="I142" i="11"/>
  <c r="I133" i="11"/>
  <c r="I143" i="11"/>
  <c r="I134" i="11"/>
  <c r="I140" i="11"/>
  <c r="I135" i="11"/>
  <c r="I147" i="11"/>
  <c r="I139" i="11"/>
  <c r="E14" i="1"/>
  <c r="F14" i="1" s="1"/>
  <c r="G14" i="1" s="1"/>
  <c r="M7" i="1"/>
  <c r="M10" i="1"/>
  <c r="M11" i="1"/>
  <c r="M12" i="1"/>
  <c r="M13" i="1"/>
  <c r="M16" i="1"/>
  <c r="M19" i="1"/>
  <c r="M20" i="1"/>
  <c r="M21" i="1"/>
  <c r="M22" i="1"/>
  <c r="M23" i="1"/>
  <c r="M24" i="1"/>
  <c r="M25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8" i="1"/>
  <c r="M79" i="1"/>
  <c r="M80" i="1"/>
  <c r="M81" i="1"/>
  <c r="M82" i="1"/>
  <c r="M83" i="1"/>
  <c r="M84" i="1"/>
  <c r="M85" i="1"/>
  <c r="M88" i="1"/>
  <c r="M89" i="1"/>
  <c r="M90" i="1"/>
  <c r="M93" i="1"/>
  <c r="M94" i="1"/>
  <c r="M95" i="1"/>
  <c r="M96" i="1"/>
  <c r="M97" i="1"/>
  <c r="M98" i="1"/>
  <c r="M99" i="1"/>
  <c r="M101" i="1"/>
  <c r="M102" i="1"/>
  <c r="M106" i="1"/>
  <c r="M107" i="1"/>
  <c r="M108" i="1"/>
  <c r="M109" i="1"/>
  <c r="M110" i="1"/>
  <c r="M111" i="1"/>
  <c r="M112" i="1"/>
  <c r="M113" i="1"/>
  <c r="M114" i="1"/>
  <c r="M115" i="1"/>
  <c r="M116" i="1"/>
  <c r="L7" i="1"/>
  <c r="L10" i="1"/>
  <c r="L11" i="1"/>
  <c r="L12" i="1"/>
  <c r="L13" i="1"/>
  <c r="L16" i="1"/>
  <c r="L19" i="1"/>
  <c r="L20" i="1"/>
  <c r="L21" i="1"/>
  <c r="L22" i="1"/>
  <c r="L23" i="1"/>
  <c r="L24" i="1"/>
  <c r="L25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8" i="1"/>
  <c r="L79" i="1"/>
  <c r="L80" i="1"/>
  <c r="L81" i="1"/>
  <c r="L82" i="1"/>
  <c r="L83" i="1"/>
  <c r="L84" i="1"/>
  <c r="L85" i="1"/>
  <c r="L88" i="1"/>
  <c r="L89" i="1"/>
  <c r="L90" i="1"/>
  <c r="L93" i="1"/>
  <c r="L94" i="1"/>
  <c r="L95" i="1"/>
  <c r="L96" i="1"/>
  <c r="L97" i="1"/>
  <c r="L98" i="1"/>
  <c r="L99" i="1"/>
  <c r="L102" i="1"/>
  <c r="L106" i="1"/>
  <c r="L107" i="1"/>
  <c r="L108" i="1"/>
  <c r="L109" i="1"/>
  <c r="L110" i="1"/>
  <c r="L111" i="1"/>
  <c r="L112" i="1"/>
  <c r="L113" i="1"/>
  <c r="L114" i="1"/>
  <c r="L115" i="1"/>
  <c r="L116" i="1"/>
  <c r="L20" i="11"/>
  <c r="M20" i="11" s="1"/>
  <c r="L14" i="11"/>
  <c r="M14" i="11" s="1"/>
  <c r="L13" i="11"/>
  <c r="M13" i="11" s="1"/>
  <c r="C81" i="11"/>
  <c r="B96" i="11" s="1"/>
  <c r="C77" i="11"/>
  <c r="C76" i="11"/>
  <c r="L75" i="11"/>
  <c r="C75" i="11"/>
  <c r="C74" i="11"/>
  <c r="C73" i="11"/>
  <c r="C72" i="11"/>
  <c r="C71" i="11"/>
  <c r="C70" i="11"/>
  <c r="L68" i="11"/>
  <c r="C68" i="11"/>
  <c r="M50" i="11"/>
  <c r="L46" i="11"/>
  <c r="L45" i="11"/>
  <c r="L43" i="11"/>
  <c r="M40" i="11"/>
  <c r="L40" i="11"/>
  <c r="L39" i="11"/>
  <c r="D37" i="11"/>
  <c r="Q34" i="11"/>
  <c r="Q35" i="11" s="1"/>
  <c r="M48" i="11" s="1"/>
  <c r="L42" i="11" s="1"/>
  <c r="F33" i="11"/>
  <c r="E32" i="11"/>
  <c r="H31" i="11"/>
  <c r="E31" i="11"/>
  <c r="L30" i="11"/>
  <c r="H30" i="11"/>
  <c r="F30" i="11"/>
  <c r="B30" i="11"/>
  <c r="L29" i="11"/>
  <c r="H29" i="11"/>
  <c r="F29" i="11"/>
  <c r="M28" i="11"/>
  <c r="H28" i="11"/>
  <c r="F28" i="11"/>
  <c r="M27" i="11"/>
  <c r="H27" i="11"/>
  <c r="F27" i="11"/>
  <c r="L25" i="11"/>
  <c r="M25" i="11" s="1"/>
  <c r="D25" i="11"/>
  <c r="D24" i="11"/>
  <c r="L23" i="11"/>
  <c r="M23" i="11" s="1"/>
  <c r="L22" i="11"/>
  <c r="M22" i="11" s="1"/>
  <c r="D21" i="11"/>
  <c r="L24" i="11" s="1"/>
  <c r="M24" i="11" s="1"/>
  <c r="N13" i="11"/>
  <c r="L10" i="11" s="1"/>
  <c r="M10" i="11" s="1"/>
  <c r="D12" i="11"/>
  <c r="G30" i="11" s="1"/>
  <c r="B10" i="11"/>
  <c r="B9" i="11"/>
  <c r="B8" i="11"/>
  <c r="B7" i="11"/>
  <c r="B6" i="11"/>
  <c r="B94" i="10"/>
  <c r="C82" i="10"/>
  <c r="B93" i="10" s="1"/>
  <c r="C78" i="10"/>
  <c r="C77" i="10"/>
  <c r="L76" i="10"/>
  <c r="C76" i="10"/>
  <c r="C75" i="10"/>
  <c r="C74" i="10"/>
  <c r="C73" i="10"/>
  <c r="C72" i="10"/>
  <c r="C71" i="10"/>
  <c r="L69" i="10"/>
  <c r="C69" i="10"/>
  <c r="M51" i="10"/>
  <c r="L46" i="10" s="1"/>
  <c r="L47" i="10"/>
  <c r="L44" i="10"/>
  <c r="M41" i="10"/>
  <c r="L40" i="10" s="1"/>
  <c r="L41" i="10"/>
  <c r="D38" i="10"/>
  <c r="Q36" i="10"/>
  <c r="M49" i="10" s="1"/>
  <c r="L43" i="10" s="1"/>
  <c r="Q35" i="10"/>
  <c r="F34" i="10"/>
  <c r="G33" i="10"/>
  <c r="E33" i="10"/>
  <c r="H32" i="10"/>
  <c r="E32" i="10"/>
  <c r="H31" i="10"/>
  <c r="F31" i="10"/>
  <c r="B31" i="10"/>
  <c r="L30" i="10"/>
  <c r="H30" i="10"/>
  <c r="F30" i="10"/>
  <c r="L29" i="10"/>
  <c r="M29" i="10" s="1"/>
  <c r="H29" i="10"/>
  <c r="F29" i="10"/>
  <c r="L28" i="10"/>
  <c r="H28" i="10"/>
  <c r="F28" i="10"/>
  <c r="L26" i="10"/>
  <c r="M26" i="10" s="1"/>
  <c r="D26" i="10"/>
  <c r="D25" i="10"/>
  <c r="L24" i="10"/>
  <c r="M24" i="10" s="1"/>
  <c r="D24" i="10"/>
  <c r="L22" i="10"/>
  <c r="M22" i="10" s="1"/>
  <c r="L21" i="10"/>
  <c r="M21" i="10" s="1"/>
  <c r="D21" i="10"/>
  <c r="L25" i="10" s="1"/>
  <c r="M25" i="10" s="1"/>
  <c r="L20" i="10"/>
  <c r="M20" i="10" s="1"/>
  <c r="L19" i="10"/>
  <c r="M19" i="10" s="1"/>
  <c r="J19" i="10"/>
  <c r="L18" i="10"/>
  <c r="M18" i="10" s="1"/>
  <c r="J18" i="10"/>
  <c r="L17" i="10"/>
  <c r="M17" i="10" s="1"/>
  <c r="J17" i="10"/>
  <c r="L16" i="10"/>
  <c r="M16" i="10" s="1"/>
  <c r="J16" i="10"/>
  <c r="L15" i="10"/>
  <c r="M15" i="10" s="1"/>
  <c r="J15" i="10"/>
  <c r="L14" i="10"/>
  <c r="M14" i="10" s="1"/>
  <c r="L13" i="10"/>
  <c r="M13" i="10" s="1"/>
  <c r="L12" i="10"/>
  <c r="M12" i="10" s="1"/>
  <c r="D12" i="10"/>
  <c r="G28" i="10" s="1"/>
  <c r="L11" i="10"/>
  <c r="M11" i="10" s="1"/>
  <c r="B10" i="10"/>
  <c r="B9" i="10"/>
  <c r="B8" i="10"/>
  <c r="B7" i="10"/>
  <c r="B6" i="10"/>
  <c r="B93" i="9"/>
  <c r="C81" i="9"/>
  <c r="B92" i="9" s="1"/>
  <c r="C77" i="9"/>
  <c r="C76" i="9"/>
  <c r="L75" i="9"/>
  <c r="C75" i="9"/>
  <c r="C74" i="9"/>
  <c r="L44" i="9" s="1"/>
  <c r="C73" i="9"/>
  <c r="C72" i="9"/>
  <c r="C71" i="9"/>
  <c r="C70" i="9"/>
  <c r="L41" i="9" s="1"/>
  <c r="L68" i="9"/>
  <c r="C68" i="9"/>
  <c r="M50" i="9"/>
  <c r="L45" i="9" s="1"/>
  <c r="L46" i="9"/>
  <c r="L43" i="9"/>
  <c r="M40" i="9"/>
  <c r="L39" i="9" s="1"/>
  <c r="L40" i="9"/>
  <c r="D37" i="9"/>
  <c r="Q35" i="9"/>
  <c r="M48" i="9" s="1"/>
  <c r="L42" i="9" s="1"/>
  <c r="Q34" i="9"/>
  <c r="F33" i="9"/>
  <c r="E32" i="9"/>
  <c r="H31" i="9"/>
  <c r="E31" i="9"/>
  <c r="H30" i="9"/>
  <c r="F30" i="9"/>
  <c r="B30" i="9"/>
  <c r="L29" i="9"/>
  <c r="H29" i="9"/>
  <c r="F29" i="9"/>
  <c r="M28" i="9"/>
  <c r="H28" i="9"/>
  <c r="F28" i="9"/>
  <c r="M27" i="9"/>
  <c r="H27" i="9"/>
  <c r="F27" i="9"/>
  <c r="L25" i="9"/>
  <c r="M25" i="9" s="1"/>
  <c r="D25" i="9"/>
  <c r="D24" i="9"/>
  <c r="L23" i="9"/>
  <c r="M23" i="9" s="1"/>
  <c r="D23" i="9"/>
  <c r="L22" i="9"/>
  <c r="M22" i="9" s="1"/>
  <c r="L21" i="9"/>
  <c r="M21" i="9" s="1"/>
  <c r="D21" i="9"/>
  <c r="L20" i="9"/>
  <c r="M20" i="9" s="1"/>
  <c r="L19" i="9"/>
  <c r="M19" i="9" s="1"/>
  <c r="J19" i="9"/>
  <c r="L18" i="9"/>
  <c r="M18" i="9" s="1"/>
  <c r="J18" i="9"/>
  <c r="L17" i="9"/>
  <c r="M17" i="9" s="1"/>
  <c r="J17" i="9"/>
  <c r="L16" i="9"/>
  <c r="M16" i="9" s="1"/>
  <c r="J16" i="9"/>
  <c r="L14" i="9"/>
  <c r="M14" i="9" s="1"/>
  <c r="N13" i="9"/>
  <c r="L13" i="9"/>
  <c r="M13" i="9" s="1"/>
  <c r="D12" i="9"/>
  <c r="G28" i="9" s="1"/>
  <c r="L10" i="9"/>
  <c r="M10" i="9" s="1"/>
  <c r="B10" i="9"/>
  <c r="B9" i="9"/>
  <c r="B8" i="9"/>
  <c r="B7" i="9"/>
  <c r="B6" i="9"/>
  <c r="B96" i="8"/>
  <c r="B94" i="8"/>
  <c r="B93" i="8"/>
  <c r="B92" i="8"/>
  <c r="C82" i="8"/>
  <c r="B97" i="8" s="1"/>
  <c r="C78" i="8"/>
  <c r="C77" i="8"/>
  <c r="L76" i="8"/>
  <c r="C76" i="8"/>
  <c r="C75" i="8"/>
  <c r="L45" i="8" s="1"/>
  <c r="C74" i="8"/>
  <c r="C73" i="8"/>
  <c r="C72" i="8"/>
  <c r="C71" i="8"/>
  <c r="L69" i="8"/>
  <c r="C69" i="8"/>
  <c r="M51" i="8"/>
  <c r="L47" i="8"/>
  <c r="L46" i="8"/>
  <c r="L44" i="8"/>
  <c r="L42" i="8"/>
  <c r="M41" i="8"/>
  <c r="L40" i="8" s="1"/>
  <c r="L41" i="8"/>
  <c r="D38" i="8"/>
  <c r="Q36" i="8"/>
  <c r="M49" i="8" s="1"/>
  <c r="L43" i="8" s="1"/>
  <c r="Q35" i="8"/>
  <c r="F34" i="8"/>
  <c r="G33" i="8"/>
  <c r="E33" i="8"/>
  <c r="H32" i="8"/>
  <c r="E32" i="8"/>
  <c r="L31" i="8"/>
  <c r="H31" i="8"/>
  <c r="F31" i="8"/>
  <c r="B31" i="8"/>
  <c r="L30" i="8"/>
  <c r="H30" i="8"/>
  <c r="F30" i="8"/>
  <c r="L29" i="8"/>
  <c r="M29" i="8" s="1"/>
  <c r="H29" i="8"/>
  <c r="F29" i="8"/>
  <c r="L28" i="8"/>
  <c r="H28" i="8"/>
  <c r="F28" i="8"/>
  <c r="L26" i="8"/>
  <c r="M26" i="8" s="1"/>
  <c r="D26" i="8"/>
  <c r="D25" i="8"/>
  <c r="L24" i="8"/>
  <c r="M24" i="8" s="1"/>
  <c r="D24" i="8"/>
  <c r="L22" i="8"/>
  <c r="M22" i="8" s="1"/>
  <c r="L21" i="8"/>
  <c r="M21" i="8" s="1"/>
  <c r="D21" i="8"/>
  <c r="L25" i="8" s="1"/>
  <c r="M25" i="8" s="1"/>
  <c r="L20" i="8"/>
  <c r="M20" i="8" s="1"/>
  <c r="L19" i="8"/>
  <c r="M19" i="8" s="1"/>
  <c r="J19" i="8"/>
  <c r="L18" i="8"/>
  <c r="M18" i="8" s="1"/>
  <c r="J18" i="8"/>
  <c r="L17" i="8"/>
  <c r="M17" i="8" s="1"/>
  <c r="J17" i="8"/>
  <c r="L16" i="8"/>
  <c r="M16" i="8" s="1"/>
  <c r="J16" i="8"/>
  <c r="L15" i="8"/>
  <c r="M15" i="8" s="1"/>
  <c r="J15" i="8"/>
  <c r="L14" i="8"/>
  <c r="M14" i="8" s="1"/>
  <c r="L13" i="8"/>
  <c r="M13" i="8" s="1"/>
  <c r="L12" i="8"/>
  <c r="M12" i="8" s="1"/>
  <c r="D12" i="8"/>
  <c r="G28" i="8" s="1"/>
  <c r="L11" i="8"/>
  <c r="M11" i="8" s="1"/>
  <c r="B10" i="8"/>
  <c r="B9" i="8"/>
  <c r="B8" i="8"/>
  <c r="B7" i="8"/>
  <c r="B6" i="8"/>
  <c r="F31" i="7"/>
  <c r="F30" i="7"/>
  <c r="F29" i="7"/>
  <c r="F28" i="7"/>
  <c r="H32" i="7"/>
  <c r="H31" i="7"/>
  <c r="H30" i="7"/>
  <c r="H29" i="7"/>
  <c r="H28" i="7"/>
  <c r="L38" i="11" l="1"/>
  <c r="L38" i="9"/>
  <c r="L42" i="10"/>
  <c r="L45" i="10"/>
  <c r="L12" i="9"/>
  <c r="M12" i="9" s="1"/>
  <c r="L24" i="9"/>
  <c r="M24" i="9" s="1"/>
  <c r="L15" i="9"/>
  <c r="M15" i="9" s="1"/>
  <c r="G32" i="9"/>
  <c r="L44" i="11"/>
  <c r="L41" i="11"/>
  <c r="L15" i="11"/>
  <c r="M15" i="11" s="1"/>
  <c r="B91" i="11"/>
  <c r="E27" i="11"/>
  <c r="G28" i="11"/>
  <c r="B92" i="11"/>
  <c r="G32" i="11"/>
  <c r="B93" i="11"/>
  <c r="E28" i="11"/>
  <c r="G27" i="11"/>
  <c r="G31" i="11"/>
  <c r="B94" i="11"/>
  <c r="G29" i="11"/>
  <c r="E30" i="11"/>
  <c r="B95" i="11"/>
  <c r="E29" i="11"/>
  <c r="G33" i="11"/>
  <c r="G32" i="10"/>
  <c r="B95" i="10"/>
  <c r="M28" i="10"/>
  <c r="L39" i="10" s="1"/>
  <c r="E31" i="10"/>
  <c r="B96" i="10"/>
  <c r="B97" i="10"/>
  <c r="E30" i="10"/>
  <c r="G34" i="10"/>
  <c r="E29" i="10"/>
  <c r="G31" i="10"/>
  <c r="E28" i="10"/>
  <c r="G30" i="10"/>
  <c r="G29" i="10"/>
  <c r="B92" i="10"/>
  <c r="L47" i="9"/>
  <c r="G27" i="9"/>
  <c r="G31" i="9"/>
  <c r="B94" i="9"/>
  <c r="E30" i="9"/>
  <c r="B95" i="9"/>
  <c r="B96" i="9"/>
  <c r="E29" i="9"/>
  <c r="G33" i="9"/>
  <c r="G30" i="9"/>
  <c r="E28" i="9"/>
  <c r="G29" i="9"/>
  <c r="B91" i="9"/>
  <c r="E27" i="9"/>
  <c r="L48" i="8"/>
  <c r="C91" i="8"/>
  <c r="G32" i="8"/>
  <c r="B95" i="8"/>
  <c r="M28" i="8"/>
  <c r="L39" i="8" s="1"/>
  <c r="E31" i="8"/>
  <c r="G34" i="8"/>
  <c r="E30" i="8"/>
  <c r="E29" i="8"/>
  <c r="G31" i="8"/>
  <c r="E28" i="8"/>
  <c r="G30" i="8"/>
  <c r="G29" i="8"/>
  <c r="L8" i="11"/>
  <c r="M8" i="11" s="1"/>
  <c r="L20" i="7"/>
  <c r="M20" i="7" s="1"/>
  <c r="L13" i="2"/>
  <c r="L12" i="2"/>
  <c r="M12" i="2" s="1"/>
  <c r="L14" i="2"/>
  <c r="M14" i="2" s="1"/>
  <c r="L15" i="2"/>
  <c r="M15" i="2" s="1"/>
  <c r="L16" i="2"/>
  <c r="M16" i="2" s="1"/>
  <c r="L17" i="2"/>
  <c r="M17" i="2" s="1"/>
  <c r="L18" i="2"/>
  <c r="M18" i="2" s="1"/>
  <c r="L19" i="2"/>
  <c r="M19" i="2" s="1"/>
  <c r="L20" i="2"/>
  <c r="M20" i="2" s="1"/>
  <c r="L21" i="2"/>
  <c r="M21" i="2" s="1"/>
  <c r="L22" i="2"/>
  <c r="M22" i="2" s="1"/>
  <c r="L24" i="2"/>
  <c r="M24" i="2" s="1"/>
  <c r="L25" i="2"/>
  <c r="M25" i="2" s="1"/>
  <c r="L11" i="2"/>
  <c r="L26" i="7"/>
  <c r="M26" i="7" s="1"/>
  <c r="L24" i="7"/>
  <c r="M24" i="7" s="1"/>
  <c r="L22" i="7"/>
  <c r="M22" i="7" s="1"/>
  <c r="L21" i="7"/>
  <c r="M21" i="7" s="1"/>
  <c r="L19" i="7"/>
  <c r="M19" i="7" s="1"/>
  <c r="L18" i="7"/>
  <c r="M18" i="7" s="1"/>
  <c r="L17" i="7"/>
  <c r="M17" i="7" s="1"/>
  <c r="L16" i="7"/>
  <c r="M16" i="7" s="1"/>
  <c r="L15" i="7"/>
  <c r="M15" i="7" s="1"/>
  <c r="L14" i="7"/>
  <c r="M14" i="7" s="1"/>
  <c r="M29" i="7"/>
  <c r="M28" i="7"/>
  <c r="B10" i="7"/>
  <c r="D21" i="7"/>
  <c r="L25" i="7" s="1"/>
  <c r="L12" i="7"/>
  <c r="E32" i="7"/>
  <c r="E33" i="7"/>
  <c r="F34" i="7"/>
  <c r="D12" i="7"/>
  <c r="E30" i="7" s="1"/>
  <c r="D11" i="2"/>
  <c r="G33" i="2" s="1"/>
  <c r="D20" i="2"/>
  <c r="B94" i="7"/>
  <c r="C82" i="7"/>
  <c r="B92" i="7" s="1"/>
  <c r="C78" i="7"/>
  <c r="C77" i="7"/>
  <c r="L76" i="7"/>
  <c r="C76" i="7"/>
  <c r="C75" i="7"/>
  <c r="C74" i="7"/>
  <c r="C73" i="7"/>
  <c r="C72" i="7"/>
  <c r="C71" i="7"/>
  <c r="L69" i="7"/>
  <c r="C69" i="7"/>
  <c r="M51" i="7"/>
  <c r="L46" i="7" s="1"/>
  <c r="L47" i="7"/>
  <c r="L44" i="7"/>
  <c r="M41" i="7"/>
  <c r="L40" i="7" s="1"/>
  <c r="L41" i="7"/>
  <c r="D38" i="7"/>
  <c r="Q35" i="7"/>
  <c r="Q36" i="7" s="1"/>
  <c r="M49" i="7" s="1"/>
  <c r="L43" i="7" s="1"/>
  <c r="B31" i="7"/>
  <c r="D26" i="7"/>
  <c r="D25" i="7"/>
  <c r="D24" i="7"/>
  <c r="J19" i="7"/>
  <c r="J18" i="7"/>
  <c r="J17" i="7"/>
  <c r="J16" i="7"/>
  <c r="J15" i="7"/>
  <c r="B9" i="7"/>
  <c r="B8" i="7"/>
  <c r="B7" i="7"/>
  <c r="B6" i="7"/>
  <c r="C76" i="2"/>
  <c r="C83" i="2"/>
  <c r="B93" i="2"/>
  <c r="B95" i="2"/>
  <c r="M40" i="2"/>
  <c r="L40" i="2" s="1"/>
  <c r="D37" i="2"/>
  <c r="C68" i="2"/>
  <c r="L31" i="2"/>
  <c r="L69" i="2"/>
  <c r="L77" i="2"/>
  <c r="N12" i="2"/>
  <c r="M10" i="2" s="1"/>
  <c r="L30" i="2"/>
  <c r="M30" i="2" s="1"/>
  <c r="L29" i="2"/>
  <c r="M29" i="2" s="1"/>
  <c r="L44" i="2"/>
  <c r="C79" i="2"/>
  <c r="C78" i="2"/>
  <c r="C77" i="2"/>
  <c r="L46" i="2"/>
  <c r="M50" i="2"/>
  <c r="C75" i="2"/>
  <c r="C74" i="2"/>
  <c r="C73" i="2"/>
  <c r="C72" i="2"/>
  <c r="L47" i="2"/>
  <c r="Q34" i="2"/>
  <c r="M48" i="2" s="1"/>
  <c r="L43" i="2" s="1"/>
  <c r="L41" i="2"/>
  <c r="B30" i="2"/>
  <c r="H28" i="2"/>
  <c r="H29" i="2"/>
  <c r="H30" i="2"/>
  <c r="H31" i="2"/>
  <c r="H26" i="2"/>
  <c r="F33" i="2"/>
  <c r="F28" i="2"/>
  <c r="F29" i="2"/>
  <c r="F30" i="2"/>
  <c r="F31" i="2"/>
  <c r="F26" i="2"/>
  <c r="D24" i="2"/>
  <c r="D23" i="2"/>
  <c r="E103" i="1"/>
  <c r="F103" i="1" s="1"/>
  <c r="E104" i="1"/>
  <c r="D22" i="2"/>
  <c r="L12" i="11"/>
  <c r="M12" i="11" s="1"/>
  <c r="L11" i="11"/>
  <c r="M11" i="11" s="1"/>
  <c r="M23" i="2"/>
  <c r="D23" i="11"/>
  <c r="D28" i="7"/>
  <c r="D28" i="2"/>
  <c r="D29" i="2"/>
  <c r="J16" i="2"/>
  <c r="J17" i="2"/>
  <c r="J18" i="2"/>
  <c r="J19" i="2"/>
  <c r="J15" i="2"/>
  <c r="B7" i="2"/>
  <c r="B8" i="2"/>
  <c r="B9" i="2"/>
  <c r="B10" i="2"/>
  <c r="B6" i="2"/>
  <c r="I7" i="1"/>
  <c r="I10" i="1"/>
  <c r="I11" i="1"/>
  <c r="I12" i="1"/>
  <c r="I13" i="1"/>
  <c r="I16" i="1"/>
  <c r="I19" i="1"/>
  <c r="I20" i="1"/>
  <c r="I21" i="1"/>
  <c r="I22" i="1"/>
  <c r="I23" i="1"/>
  <c r="I24" i="1"/>
  <c r="I25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8" i="1"/>
  <c r="I79" i="1"/>
  <c r="I80" i="1"/>
  <c r="I81" i="1"/>
  <c r="I82" i="1"/>
  <c r="I83" i="1"/>
  <c r="I84" i="1"/>
  <c r="I85" i="1"/>
  <c r="I88" i="1"/>
  <c r="I89" i="1"/>
  <c r="I90" i="1"/>
  <c r="I93" i="1"/>
  <c r="I94" i="1"/>
  <c r="I95" i="1"/>
  <c r="I96" i="1"/>
  <c r="I97" i="1"/>
  <c r="I98" i="1"/>
  <c r="I99" i="1"/>
  <c r="I101" i="1"/>
  <c r="I102" i="1"/>
  <c r="I106" i="1"/>
  <c r="I107" i="1"/>
  <c r="I108" i="1"/>
  <c r="I109" i="1"/>
  <c r="I110" i="1"/>
  <c r="I111" i="1"/>
  <c r="I112" i="1"/>
  <c r="I113" i="1"/>
  <c r="I114" i="1"/>
  <c r="I115" i="1"/>
  <c r="I116" i="1"/>
  <c r="E100" i="1"/>
  <c r="E91" i="1"/>
  <c r="E77" i="1"/>
  <c r="F77" i="1" s="1"/>
  <c r="G77" i="1" s="1"/>
  <c r="E87" i="1"/>
  <c r="F87" i="1" s="1"/>
  <c r="E86" i="1"/>
  <c r="W9" i="7"/>
  <c r="W8" i="2"/>
  <c r="V9" i="7"/>
  <c r="L7" i="2"/>
  <c r="M7" i="2" s="1"/>
  <c r="V8" i="2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33" i="11"/>
  <c r="D134" i="11"/>
  <c r="D135" i="11"/>
  <c r="D136" i="11"/>
  <c r="D31" i="7"/>
  <c r="D31" i="2"/>
  <c r="D32" i="2"/>
  <c r="D34" i="7"/>
  <c r="D34" i="2"/>
  <c r="D37" i="7"/>
  <c r="E18" i="1"/>
  <c r="F18" i="1" s="1"/>
  <c r="G18" i="1" s="1"/>
  <c r="W4" i="7"/>
  <c r="E5" i="1"/>
  <c r="E26" i="1"/>
  <c r="F26" i="1" s="1"/>
  <c r="G26" i="1" s="1"/>
  <c r="E27" i="1"/>
  <c r="E28" i="1"/>
  <c r="F28" i="1" s="1"/>
  <c r="G28" i="1" s="1"/>
  <c r="E29" i="1"/>
  <c r="E30" i="1"/>
  <c r="F30" i="1" s="1"/>
  <c r="G30" i="1" s="1"/>
  <c r="E17" i="1"/>
  <c r="F17" i="1" s="1"/>
  <c r="G17" i="1" s="1"/>
  <c r="E15" i="1"/>
  <c r="E8" i="1"/>
  <c r="I14" i="1"/>
  <c r="E9" i="1"/>
  <c r="F9" i="1" s="1"/>
  <c r="G9" i="1" s="1"/>
  <c r="L8" i="9"/>
  <c r="M8" i="9" s="1"/>
  <c r="E6" i="1"/>
  <c r="F6" i="1" s="1"/>
  <c r="G6" i="1" s="1"/>
  <c r="E4" i="1"/>
  <c r="G104" i="1" l="1"/>
  <c r="F104" i="1"/>
  <c r="F105" i="1" s="1"/>
  <c r="L7" i="15"/>
  <c r="M7" i="15" s="1"/>
  <c r="L7" i="13"/>
  <c r="M7" i="13" s="1"/>
  <c r="L7" i="16"/>
  <c r="M7" i="16" s="1"/>
  <c r="L7" i="18"/>
  <c r="M7" i="18" s="1"/>
  <c r="V6" i="12"/>
  <c r="V6" i="18"/>
  <c r="V6" i="17"/>
  <c r="V6" i="14"/>
  <c r="V6" i="13"/>
  <c r="V6" i="15"/>
  <c r="V6" i="16"/>
  <c r="W6" i="14"/>
  <c r="W12" i="14" s="1"/>
  <c r="M9" i="14" s="1"/>
  <c r="W6" i="17"/>
  <c r="W12" i="17" s="1"/>
  <c r="M9" i="17" s="1"/>
  <c r="W6" i="13"/>
  <c r="W12" i="13" s="1"/>
  <c r="M9" i="13" s="1"/>
  <c r="W6" i="18"/>
  <c r="W12" i="18" s="1"/>
  <c r="M9" i="18" s="1"/>
  <c r="W6" i="15"/>
  <c r="W12" i="15" s="1"/>
  <c r="M9" i="15" s="1"/>
  <c r="W6" i="12"/>
  <c r="W12" i="12" s="1"/>
  <c r="M9" i="12" s="1"/>
  <c r="W6" i="16"/>
  <c r="W12" i="16" s="1"/>
  <c r="M9" i="16" s="1"/>
  <c r="L45" i="2"/>
  <c r="L48" i="10"/>
  <c r="L42" i="7"/>
  <c r="B93" i="7"/>
  <c r="B95" i="7"/>
  <c r="B96" i="7"/>
  <c r="B97" i="7"/>
  <c r="L11" i="9"/>
  <c r="M11" i="9" s="1"/>
  <c r="G87" i="1"/>
  <c r="I8" i="1"/>
  <c r="F8" i="1"/>
  <c r="G8" i="1" s="1"/>
  <c r="I5" i="1"/>
  <c r="F5" i="1"/>
  <c r="G5" i="1" s="1"/>
  <c r="I15" i="1"/>
  <c r="F15" i="1"/>
  <c r="G15" i="1" s="1"/>
  <c r="I86" i="1"/>
  <c r="F86" i="1"/>
  <c r="G86" i="1" s="1"/>
  <c r="F4" i="1"/>
  <c r="G4" i="1" s="1"/>
  <c r="L6" i="7" s="1"/>
  <c r="G105" i="1"/>
  <c r="I29" i="1"/>
  <c r="F29" i="1"/>
  <c r="G29" i="1" s="1"/>
  <c r="F91" i="1"/>
  <c r="G91" i="1" s="1"/>
  <c r="F100" i="1"/>
  <c r="G100" i="1" s="1"/>
  <c r="I77" i="1"/>
  <c r="I103" i="1"/>
  <c r="G103" i="1"/>
  <c r="I27" i="1"/>
  <c r="F27" i="1"/>
  <c r="G27" i="1" s="1"/>
  <c r="D36" i="2"/>
  <c r="L47" i="11"/>
  <c r="D29" i="7"/>
  <c r="D30" i="7"/>
  <c r="V8" i="7"/>
  <c r="M17" i="1"/>
  <c r="L17" i="1"/>
  <c r="L6" i="10"/>
  <c r="M6" i="1"/>
  <c r="L6" i="1"/>
  <c r="M30" i="1"/>
  <c r="L30" i="1"/>
  <c r="V7" i="11"/>
  <c r="V7" i="8"/>
  <c r="V7" i="10"/>
  <c r="V7" i="9"/>
  <c r="M87" i="1"/>
  <c r="L87" i="1"/>
  <c r="I87" i="1"/>
  <c r="M104" i="1"/>
  <c r="L104" i="1"/>
  <c r="W9" i="2"/>
  <c r="D32" i="7"/>
  <c r="D30" i="11"/>
  <c r="D31" i="10"/>
  <c r="D31" i="8"/>
  <c r="D30" i="9"/>
  <c r="M29" i="1"/>
  <c r="L29" i="1"/>
  <c r="D37" i="10"/>
  <c r="D36" i="11"/>
  <c r="D37" i="8"/>
  <c r="D36" i="9"/>
  <c r="M77" i="1"/>
  <c r="L77" i="1"/>
  <c r="I30" i="1"/>
  <c r="I6" i="1"/>
  <c r="E105" i="1"/>
  <c r="M103" i="1"/>
  <c r="L103" i="1"/>
  <c r="D30" i="2"/>
  <c r="V7" i="2"/>
  <c r="D33" i="7"/>
  <c r="D29" i="9"/>
  <c r="D29" i="11"/>
  <c r="D30" i="10"/>
  <c r="D30" i="8"/>
  <c r="V7" i="7"/>
  <c r="M4" i="1"/>
  <c r="L4" i="1"/>
  <c r="W7" i="11"/>
  <c r="W7" i="10"/>
  <c r="W7" i="8"/>
  <c r="W7" i="9"/>
  <c r="L8" i="8"/>
  <c r="M8" i="8" s="1"/>
  <c r="L8" i="10"/>
  <c r="M8" i="10" s="1"/>
  <c r="L28" i="1"/>
  <c r="M28" i="1"/>
  <c r="D36" i="8"/>
  <c r="D35" i="11"/>
  <c r="D36" i="10"/>
  <c r="D35" i="9"/>
  <c r="M6" i="8"/>
  <c r="M6" i="10"/>
  <c r="E92" i="1"/>
  <c r="F92" i="1" s="1"/>
  <c r="G92" i="1" s="1"/>
  <c r="M91" i="1"/>
  <c r="L91" i="1"/>
  <c r="M9" i="1"/>
  <c r="L9" i="1"/>
  <c r="M27" i="1"/>
  <c r="L27" i="1"/>
  <c r="D34" i="11"/>
  <c r="D35" i="10"/>
  <c r="D34" i="9"/>
  <c r="D35" i="8"/>
  <c r="V9" i="9"/>
  <c r="V9" i="8"/>
  <c r="V9" i="11"/>
  <c r="V9" i="10"/>
  <c r="L100" i="1"/>
  <c r="M100" i="1"/>
  <c r="I100" i="1"/>
  <c r="I28" i="1"/>
  <c r="D28" i="11"/>
  <c r="D29" i="10"/>
  <c r="D29" i="8"/>
  <c r="D28" i="9"/>
  <c r="V9" i="2"/>
  <c r="W7" i="7"/>
  <c r="D35" i="7"/>
  <c r="M86" i="1"/>
  <c r="L86" i="1"/>
  <c r="L8" i="2"/>
  <c r="M8" i="2" s="1"/>
  <c r="M14" i="1"/>
  <c r="L14" i="1"/>
  <c r="M26" i="1"/>
  <c r="L26" i="1"/>
  <c r="D34" i="8"/>
  <c r="D33" i="9"/>
  <c r="D33" i="11"/>
  <c r="D34" i="10"/>
  <c r="W8" i="9"/>
  <c r="W8" i="8"/>
  <c r="W8" i="11"/>
  <c r="W8" i="10"/>
  <c r="I4" i="1"/>
  <c r="I91" i="1"/>
  <c r="D27" i="9"/>
  <c r="D27" i="11"/>
  <c r="D28" i="10"/>
  <c r="D28" i="8"/>
  <c r="D33" i="2"/>
  <c r="W4" i="2"/>
  <c r="L8" i="7"/>
  <c r="M8" i="7" s="1"/>
  <c r="M18" i="1"/>
  <c r="L18" i="1"/>
  <c r="M5" i="1"/>
  <c r="L5" i="1"/>
  <c r="D36" i="7"/>
  <c r="M8" i="1"/>
  <c r="L8" i="1"/>
  <c r="D32" i="11"/>
  <c r="D33" i="10"/>
  <c r="D33" i="8"/>
  <c r="D32" i="9"/>
  <c r="W9" i="9"/>
  <c r="W9" i="11"/>
  <c r="W9" i="10"/>
  <c r="W9" i="8"/>
  <c r="I26" i="1"/>
  <c r="J26" i="1" s="1"/>
  <c r="I18" i="1"/>
  <c r="M15" i="1"/>
  <c r="L15" i="1"/>
  <c r="W4" i="8"/>
  <c r="W4" i="9"/>
  <c r="W4" i="11"/>
  <c r="W4" i="10"/>
  <c r="D32" i="8"/>
  <c r="D31" i="11"/>
  <c r="D32" i="10"/>
  <c r="D31" i="9"/>
  <c r="V8" i="9"/>
  <c r="V8" i="11"/>
  <c r="V8" i="10"/>
  <c r="V8" i="8"/>
  <c r="I17" i="1"/>
  <c r="I9" i="1"/>
  <c r="D26" i="2"/>
  <c r="D35" i="2"/>
  <c r="M6" i="2"/>
  <c r="W7" i="2"/>
  <c r="W8" i="7"/>
  <c r="C90" i="11"/>
  <c r="C91" i="10"/>
  <c r="C90" i="9"/>
  <c r="L50" i="8"/>
  <c r="L55" i="8" s="1"/>
  <c r="L13" i="7"/>
  <c r="M13" i="7" s="1"/>
  <c r="E28" i="7"/>
  <c r="M12" i="7"/>
  <c r="E31" i="7"/>
  <c r="G29" i="7"/>
  <c r="G28" i="7"/>
  <c r="G30" i="7"/>
  <c r="G31" i="7"/>
  <c r="G32" i="7"/>
  <c r="G33" i="7"/>
  <c r="G34" i="7"/>
  <c r="E29" i="7"/>
  <c r="E32" i="2"/>
  <c r="G26" i="2"/>
  <c r="G28" i="2"/>
  <c r="G29" i="2"/>
  <c r="E26" i="2"/>
  <c r="E28" i="2"/>
  <c r="M11" i="2" s="1"/>
  <c r="G30" i="2"/>
  <c r="G31" i="2"/>
  <c r="E30" i="2"/>
  <c r="E29" i="2"/>
  <c r="G32" i="2"/>
  <c r="E31" i="2"/>
  <c r="L45" i="7"/>
  <c r="L48" i="7" s="1"/>
  <c r="B96" i="2"/>
  <c r="B97" i="2"/>
  <c r="B98" i="2"/>
  <c r="B94" i="2"/>
  <c r="M13" i="2"/>
  <c r="L42" i="2"/>
  <c r="Q35" i="2"/>
  <c r="I104" i="1"/>
  <c r="J27" i="1" l="1"/>
  <c r="J28" i="1" s="1"/>
  <c r="J29" i="1" s="1"/>
  <c r="J30" i="1" s="1"/>
  <c r="V4" i="12"/>
  <c r="V12" i="12" s="1"/>
  <c r="V4" i="16"/>
  <c r="V12" i="16" s="1"/>
  <c r="V4" i="13"/>
  <c r="V12" i="13" s="1"/>
  <c r="L9" i="13" s="1"/>
  <c r="V4" i="15"/>
  <c r="V12" i="15" s="1"/>
  <c r="L9" i="15" s="1"/>
  <c r="V4" i="18"/>
  <c r="V12" i="18" s="1"/>
  <c r="L9" i="18" s="1"/>
  <c r="V4" i="17"/>
  <c r="V12" i="17" s="1"/>
  <c r="V4" i="14"/>
  <c r="V12" i="14" s="1"/>
  <c r="M6" i="12"/>
  <c r="M6" i="18"/>
  <c r="M4" i="18" s="1"/>
  <c r="M6" i="17"/>
  <c r="M6" i="14"/>
  <c r="M6" i="15"/>
  <c r="M4" i="15" s="1"/>
  <c r="M6" i="16"/>
  <c r="M4" i="16" s="1"/>
  <c r="M6" i="13"/>
  <c r="M4" i="13" s="1"/>
  <c r="L6" i="18"/>
  <c r="L6" i="17"/>
  <c r="L6" i="14"/>
  <c r="L6" i="15"/>
  <c r="L6" i="12"/>
  <c r="L6" i="16"/>
  <c r="L4" i="16" s="1"/>
  <c r="L6" i="13"/>
  <c r="L4" i="13" s="1"/>
  <c r="L7" i="12"/>
  <c r="M7" i="12" s="1"/>
  <c r="L7" i="14"/>
  <c r="M7" i="14" s="1"/>
  <c r="L7" i="17"/>
  <c r="M7" i="17" s="1"/>
  <c r="C91" i="7"/>
  <c r="W6" i="9"/>
  <c r="W12" i="9" s="1"/>
  <c r="M9" i="9" s="1"/>
  <c r="W6" i="11"/>
  <c r="W12" i="11" s="1"/>
  <c r="M9" i="11" s="1"/>
  <c r="W6" i="10"/>
  <c r="W12" i="10" s="1"/>
  <c r="M9" i="10" s="1"/>
  <c r="W6" i="8"/>
  <c r="W12" i="8" s="1"/>
  <c r="M9" i="8" s="1"/>
  <c r="W6" i="2"/>
  <c r="W11" i="2" s="1"/>
  <c r="M9" i="2" s="1"/>
  <c r="W6" i="7"/>
  <c r="W12" i="7" s="1"/>
  <c r="M9" i="7" s="1"/>
  <c r="L7" i="11"/>
  <c r="M7" i="11" s="1"/>
  <c r="L7" i="9"/>
  <c r="M7" i="9" s="1"/>
  <c r="L7" i="10"/>
  <c r="M7" i="10" s="1"/>
  <c r="L7" i="8"/>
  <c r="M7" i="8" s="1"/>
  <c r="L7" i="7"/>
  <c r="M7" i="7" s="1"/>
  <c r="I105" i="1"/>
  <c r="M105" i="1"/>
  <c r="L105" i="1"/>
  <c r="L6" i="8"/>
  <c r="L6" i="2"/>
  <c r="V4" i="11"/>
  <c r="V4" i="8"/>
  <c r="V4" i="10"/>
  <c r="V4" i="9"/>
  <c r="V4" i="7"/>
  <c r="V4" i="2"/>
  <c r="M6" i="9"/>
  <c r="M6" i="11"/>
  <c r="M6" i="7"/>
  <c r="L92" i="1"/>
  <c r="M92" i="1"/>
  <c r="I92" i="1"/>
  <c r="V6" i="10"/>
  <c r="V6" i="8"/>
  <c r="V6" i="9"/>
  <c r="V6" i="11"/>
  <c r="V6" i="7"/>
  <c r="V6" i="2"/>
  <c r="N13" i="10"/>
  <c r="L10" i="10" s="1"/>
  <c r="M10" i="10" s="1"/>
  <c r="N13" i="7"/>
  <c r="L10" i="7" s="1"/>
  <c r="M10" i="7" s="1"/>
  <c r="L6" i="11"/>
  <c r="L6" i="9"/>
  <c r="L11" i="7"/>
  <c r="M11" i="7" s="1"/>
  <c r="M25" i="7"/>
  <c r="M26" i="2"/>
  <c r="C92" i="2"/>
  <c r="L48" i="2"/>
  <c r="N13" i="8" l="1"/>
  <c r="L10" i="8" s="1"/>
  <c r="M10" i="8" s="1"/>
  <c r="M4" i="8" s="1"/>
  <c r="M4" i="12"/>
  <c r="M4" i="17"/>
  <c r="L4" i="14"/>
  <c r="M4" i="14"/>
  <c r="L30" i="14" s="1"/>
  <c r="L30" i="13"/>
  <c r="L35" i="13"/>
  <c r="L30" i="16"/>
  <c r="L35" i="16"/>
  <c r="L4" i="12"/>
  <c r="L36" i="12" s="1"/>
  <c r="L4" i="15"/>
  <c r="L4" i="17"/>
  <c r="L4" i="18"/>
  <c r="M4" i="2"/>
  <c r="L32" i="2" s="1"/>
  <c r="L39" i="2" s="1"/>
  <c r="V11" i="2"/>
  <c r="L4" i="2" s="1"/>
  <c r="V12" i="8"/>
  <c r="L9" i="8" s="1"/>
  <c r="V12" i="7"/>
  <c r="L9" i="7" s="1"/>
  <c r="L4" i="7" s="1"/>
  <c r="M4" i="10"/>
  <c r="V12" i="11"/>
  <c r="L9" i="11" s="1"/>
  <c r="M4" i="9"/>
  <c r="V12" i="9"/>
  <c r="L9" i="9" s="1"/>
  <c r="L4" i="9" s="1"/>
  <c r="V12" i="10"/>
  <c r="L9" i="10" s="1"/>
  <c r="L4" i="10" s="1"/>
  <c r="M4" i="7"/>
  <c r="L4" i="8" l="1"/>
  <c r="L35" i="14"/>
  <c r="B125" i="14" s="1"/>
  <c r="L35" i="15"/>
  <c r="L30" i="15"/>
  <c r="L38" i="12"/>
  <c r="L49" i="12" s="1"/>
  <c r="B126" i="12"/>
  <c r="B125" i="12"/>
  <c r="L37" i="12"/>
  <c r="B124" i="12"/>
  <c r="B122" i="12"/>
  <c r="B120" i="12"/>
  <c r="B121" i="12"/>
  <c r="B127" i="12"/>
  <c r="B123" i="12"/>
  <c r="B124" i="16"/>
  <c r="B122" i="16"/>
  <c r="B120" i="16"/>
  <c r="B119" i="16"/>
  <c r="L36" i="16"/>
  <c r="B126" i="16"/>
  <c r="L37" i="16"/>
  <c r="L48" i="16" s="1"/>
  <c r="B125" i="16"/>
  <c r="B121" i="16"/>
  <c r="B123" i="16"/>
  <c r="L35" i="17"/>
  <c r="L30" i="17"/>
  <c r="B119" i="14"/>
  <c r="L36" i="18"/>
  <c r="L31" i="18"/>
  <c r="B126" i="13"/>
  <c r="B120" i="13"/>
  <c r="L37" i="13"/>
  <c r="L48" i="13" s="1"/>
  <c r="B124" i="13"/>
  <c r="B119" i="13"/>
  <c r="L36" i="13"/>
  <c r="B123" i="13"/>
  <c r="B121" i="13"/>
  <c r="B125" i="13"/>
  <c r="B122" i="13"/>
  <c r="L30" i="7"/>
  <c r="L39" i="7" s="1"/>
  <c r="L31" i="7"/>
  <c r="L30" i="9"/>
  <c r="L36" i="2"/>
  <c r="B128" i="2" s="1"/>
  <c r="L35" i="9"/>
  <c r="B124" i="9" s="1"/>
  <c r="L36" i="8"/>
  <c r="B122" i="8" s="1"/>
  <c r="L36" i="10"/>
  <c r="B121" i="10" s="1"/>
  <c r="L31" i="10"/>
  <c r="L36" i="7"/>
  <c r="B122" i="7" s="1"/>
  <c r="B123" i="14" l="1"/>
  <c r="L36" i="14"/>
  <c r="B122" i="14"/>
  <c r="B124" i="14"/>
  <c r="B120" i="14"/>
  <c r="B121" i="14"/>
  <c r="B126" i="14"/>
  <c r="B119" i="17"/>
  <c r="B126" i="17"/>
  <c r="L37" i="17"/>
  <c r="L48" i="17" s="1"/>
  <c r="B125" i="17"/>
  <c r="B124" i="17"/>
  <c r="B121" i="17"/>
  <c r="B123" i="17"/>
  <c r="L36" i="17"/>
  <c r="B122" i="17"/>
  <c r="B120" i="17"/>
  <c r="B123" i="18"/>
  <c r="B122" i="18"/>
  <c r="L37" i="18"/>
  <c r="L38" i="18"/>
  <c r="L49" i="18" s="1"/>
  <c r="B125" i="18"/>
  <c r="B127" i="18"/>
  <c r="B126" i="18"/>
  <c r="B124" i="18"/>
  <c r="B120" i="18"/>
  <c r="B121" i="18"/>
  <c r="C80" i="16"/>
  <c r="B112" i="16"/>
  <c r="B110" i="16"/>
  <c r="B109" i="16"/>
  <c r="B108" i="16"/>
  <c r="L53" i="16"/>
  <c r="L58" i="16" s="1"/>
  <c r="C98" i="16"/>
  <c r="L52" i="16"/>
  <c r="L57" i="16" s="1"/>
  <c r="B111" i="16"/>
  <c r="L51" i="16"/>
  <c r="L56" i="16" s="1"/>
  <c r="B113" i="16"/>
  <c r="L50" i="16"/>
  <c r="L55" i="16" s="1"/>
  <c r="B112" i="12"/>
  <c r="L51" i="12"/>
  <c r="L56" i="12" s="1"/>
  <c r="B111" i="12"/>
  <c r="B110" i="12"/>
  <c r="B109" i="12"/>
  <c r="C99" i="12"/>
  <c r="L50" i="12"/>
  <c r="L55" i="12" s="1"/>
  <c r="B114" i="12"/>
  <c r="L52" i="12"/>
  <c r="L57" i="12" s="1"/>
  <c r="C81" i="12"/>
  <c r="L53" i="12"/>
  <c r="L58" i="12" s="1"/>
  <c r="B113" i="12"/>
  <c r="L54" i="12"/>
  <c r="L59" i="12" s="1"/>
  <c r="C128" i="13"/>
  <c r="C127" i="13"/>
  <c r="C128" i="12"/>
  <c r="C129" i="12"/>
  <c r="B125" i="15"/>
  <c r="B121" i="15"/>
  <c r="B122" i="15"/>
  <c r="B124" i="15"/>
  <c r="B123" i="15"/>
  <c r="B120" i="15"/>
  <c r="L36" i="15"/>
  <c r="B119" i="15"/>
  <c r="B126" i="15"/>
  <c r="L37" i="15"/>
  <c r="L48" i="15" s="1"/>
  <c r="L49" i="13"/>
  <c r="L54" i="13" s="1"/>
  <c r="B111" i="13"/>
  <c r="C98" i="13"/>
  <c r="B110" i="13"/>
  <c r="L51" i="13"/>
  <c r="L56" i="13" s="1"/>
  <c r="L50" i="13"/>
  <c r="L55" i="13" s="1"/>
  <c r="C80" i="13"/>
  <c r="L53" i="13"/>
  <c r="L58" i="13" s="1"/>
  <c r="B112" i="13"/>
  <c r="L52" i="13"/>
  <c r="L57" i="13" s="1"/>
  <c r="B108" i="13"/>
  <c r="B109" i="13"/>
  <c r="B113" i="13"/>
  <c r="C128" i="16"/>
  <c r="C127" i="16"/>
  <c r="B123" i="2"/>
  <c r="B122" i="2"/>
  <c r="B121" i="2"/>
  <c r="L37" i="2"/>
  <c r="B124" i="2"/>
  <c r="L38" i="2"/>
  <c r="B125" i="2"/>
  <c r="B126" i="2"/>
  <c r="B127" i="2"/>
  <c r="B120" i="9"/>
  <c r="B125" i="9"/>
  <c r="B122" i="9"/>
  <c r="B121" i="9"/>
  <c r="B123" i="9"/>
  <c r="B126" i="9"/>
  <c r="L36" i="9"/>
  <c r="B119" i="9"/>
  <c r="L37" i="9"/>
  <c r="L48" i="9" s="1"/>
  <c r="B108" i="9" s="1"/>
  <c r="B127" i="8"/>
  <c r="L37" i="8"/>
  <c r="B125" i="8"/>
  <c r="B121" i="8"/>
  <c r="B126" i="8"/>
  <c r="B120" i="8"/>
  <c r="B123" i="8"/>
  <c r="B124" i="8"/>
  <c r="L38" i="8"/>
  <c r="L49" i="8" s="1"/>
  <c r="B109" i="8" s="1"/>
  <c r="L38" i="10"/>
  <c r="L49" i="10" s="1"/>
  <c r="L50" i="10" s="1"/>
  <c r="L55" i="10" s="1"/>
  <c r="B127" i="10"/>
  <c r="B123" i="10"/>
  <c r="B125" i="10"/>
  <c r="B120" i="10"/>
  <c r="L37" i="10"/>
  <c r="B126" i="10"/>
  <c r="B122" i="10"/>
  <c r="B124" i="10"/>
  <c r="B123" i="7"/>
  <c r="L38" i="7"/>
  <c r="L49" i="7" s="1"/>
  <c r="B109" i="7" s="1"/>
  <c r="B121" i="7"/>
  <c r="B120" i="7"/>
  <c r="B125" i="7"/>
  <c r="B126" i="7"/>
  <c r="B127" i="7"/>
  <c r="B124" i="7"/>
  <c r="L37" i="7"/>
  <c r="C128" i="14" l="1"/>
  <c r="C127" i="14"/>
  <c r="C129" i="18"/>
  <c r="C128" i="18"/>
  <c r="L59" i="13"/>
  <c r="C107" i="16"/>
  <c r="C97" i="16" s="1"/>
  <c r="B112" i="15"/>
  <c r="B110" i="15"/>
  <c r="B108" i="15"/>
  <c r="L53" i="15"/>
  <c r="L58" i="15" s="1"/>
  <c r="B111" i="15"/>
  <c r="L50" i="15"/>
  <c r="L55" i="15" s="1"/>
  <c r="C98" i="15"/>
  <c r="L52" i="15"/>
  <c r="L57" i="15" s="1"/>
  <c r="B109" i="15"/>
  <c r="L51" i="15"/>
  <c r="L56" i="15" s="1"/>
  <c r="B113" i="15"/>
  <c r="C80" i="15"/>
  <c r="L59" i="16"/>
  <c r="L60" i="12"/>
  <c r="B111" i="18"/>
  <c r="L54" i="18"/>
  <c r="L59" i="18" s="1"/>
  <c r="B112" i="18"/>
  <c r="C99" i="18"/>
  <c r="L51" i="18"/>
  <c r="L56" i="18" s="1"/>
  <c r="B113" i="18"/>
  <c r="B110" i="18"/>
  <c r="L53" i="18"/>
  <c r="L58" i="18" s="1"/>
  <c r="L50" i="18"/>
  <c r="L55" i="18" s="1"/>
  <c r="C81" i="18"/>
  <c r="B109" i="18"/>
  <c r="L52" i="18"/>
  <c r="L57" i="18" s="1"/>
  <c r="B114" i="18"/>
  <c r="C108" i="12"/>
  <c r="C98" i="12" s="1"/>
  <c r="B84" i="16"/>
  <c r="B86" i="16"/>
  <c r="B89" i="16"/>
  <c r="B88" i="16"/>
  <c r="B87" i="16"/>
  <c r="B85" i="16"/>
  <c r="B87" i="13"/>
  <c r="B89" i="13"/>
  <c r="B86" i="13"/>
  <c r="B85" i="13"/>
  <c r="B84" i="13"/>
  <c r="B88" i="13"/>
  <c r="C128" i="15"/>
  <c r="C127" i="15"/>
  <c r="B106" i="12"/>
  <c r="B105" i="12"/>
  <c r="B104" i="12"/>
  <c r="B103" i="12"/>
  <c r="B102" i="12"/>
  <c r="B101" i="12"/>
  <c r="B108" i="17"/>
  <c r="L53" i="17"/>
  <c r="L58" i="17" s="1"/>
  <c r="C98" i="17"/>
  <c r="L49" i="17"/>
  <c r="L54" i="17" s="1"/>
  <c r="B113" i="17"/>
  <c r="L52" i="17"/>
  <c r="L57" i="17" s="1"/>
  <c r="C80" i="17"/>
  <c r="L51" i="17"/>
  <c r="L56" i="17" s="1"/>
  <c r="B111" i="17"/>
  <c r="L50" i="17"/>
  <c r="L55" i="17" s="1"/>
  <c r="B112" i="17"/>
  <c r="B110" i="17"/>
  <c r="B109" i="17"/>
  <c r="C107" i="13"/>
  <c r="C97" i="13" s="1"/>
  <c r="B103" i="13"/>
  <c r="B100" i="13"/>
  <c r="B102" i="13"/>
  <c r="B105" i="13"/>
  <c r="B101" i="13"/>
  <c r="B104" i="13"/>
  <c r="B105" i="16"/>
  <c r="B103" i="16"/>
  <c r="B100" i="16"/>
  <c r="B104" i="16"/>
  <c r="B102" i="16"/>
  <c r="B101" i="16"/>
  <c r="B90" i="12"/>
  <c r="B89" i="12"/>
  <c r="B88" i="12"/>
  <c r="B87" i="12"/>
  <c r="B86" i="12"/>
  <c r="B85" i="12"/>
  <c r="C128" i="17"/>
  <c r="C127" i="17"/>
  <c r="L50" i="7"/>
  <c r="L55" i="7" s="1"/>
  <c r="B113" i="8"/>
  <c r="C130" i="2"/>
  <c r="C129" i="2"/>
  <c r="L49" i="2"/>
  <c r="C128" i="9"/>
  <c r="C98" i="9"/>
  <c r="B100" i="9" s="1"/>
  <c r="B110" i="9"/>
  <c r="B111" i="9"/>
  <c r="L51" i="9"/>
  <c r="L56" i="9" s="1"/>
  <c r="B112" i="9"/>
  <c r="B113" i="9"/>
  <c r="L53" i="9"/>
  <c r="L58" i="9" s="1"/>
  <c r="B109" i="9"/>
  <c r="L52" i="9"/>
  <c r="L57" i="9" s="1"/>
  <c r="L50" i="9"/>
  <c r="L55" i="9" s="1"/>
  <c r="L49" i="9"/>
  <c r="L54" i="9" s="1"/>
  <c r="C80" i="9"/>
  <c r="B85" i="9" s="1"/>
  <c r="C127" i="9"/>
  <c r="C129" i="8"/>
  <c r="C128" i="8"/>
  <c r="C99" i="8"/>
  <c r="B105" i="8" s="1"/>
  <c r="L52" i="8"/>
  <c r="L57" i="8" s="1"/>
  <c r="B114" i="8"/>
  <c r="L53" i="8"/>
  <c r="L58" i="8" s="1"/>
  <c r="B110" i="8"/>
  <c r="B111" i="8"/>
  <c r="L54" i="8"/>
  <c r="L59" i="8" s="1"/>
  <c r="L51" i="8"/>
  <c r="L56" i="8" s="1"/>
  <c r="B112" i="8"/>
  <c r="C81" i="8"/>
  <c r="B87" i="8" s="1"/>
  <c r="C81" i="10"/>
  <c r="B85" i="10" s="1"/>
  <c r="L51" i="10"/>
  <c r="L56" i="10" s="1"/>
  <c r="C129" i="10"/>
  <c r="B109" i="10"/>
  <c r="L52" i="10"/>
  <c r="L57" i="10" s="1"/>
  <c r="C99" i="10"/>
  <c r="B105" i="10" s="1"/>
  <c r="L53" i="10"/>
  <c r="L58" i="10" s="1"/>
  <c r="B111" i="10"/>
  <c r="B110" i="10"/>
  <c r="B112" i="10"/>
  <c r="C128" i="10"/>
  <c r="B114" i="10"/>
  <c r="B113" i="10"/>
  <c r="L54" i="10"/>
  <c r="L59" i="10" s="1"/>
  <c r="B110" i="7"/>
  <c r="L53" i="7"/>
  <c r="L58" i="7" s="1"/>
  <c r="C81" i="7"/>
  <c r="B88" i="7" s="1"/>
  <c r="C99" i="7"/>
  <c r="B104" i="7" s="1"/>
  <c r="B114" i="7"/>
  <c r="L54" i="7"/>
  <c r="L59" i="7" s="1"/>
  <c r="B112" i="7"/>
  <c r="B111" i="7"/>
  <c r="L52" i="7"/>
  <c r="L57" i="7" s="1"/>
  <c r="L51" i="7"/>
  <c r="L56" i="7" s="1"/>
  <c r="B113" i="7"/>
  <c r="C128" i="7"/>
  <c r="C129" i="7"/>
  <c r="C107" i="17" l="1"/>
  <c r="C97" i="17" s="1"/>
  <c r="C82" i="13"/>
  <c r="L60" i="18"/>
  <c r="C99" i="13"/>
  <c r="C106" i="13" s="1"/>
  <c r="C129" i="13" s="1"/>
  <c r="L60" i="13" s="1"/>
  <c r="M61" i="13" s="1"/>
  <c r="L61" i="13" s="1"/>
  <c r="K31" i="13" s="1"/>
  <c r="C100" i="12"/>
  <c r="C107" i="12" s="1"/>
  <c r="C130" i="12" s="1"/>
  <c r="L61" i="12" s="1"/>
  <c r="M62" i="12" s="1"/>
  <c r="L62" i="12" s="1"/>
  <c r="K32" i="12" s="1"/>
  <c r="B105" i="15"/>
  <c r="B103" i="15"/>
  <c r="B104" i="15"/>
  <c r="B100" i="15"/>
  <c r="B102" i="15"/>
  <c r="B101" i="15"/>
  <c r="C82" i="16"/>
  <c r="L59" i="15"/>
  <c r="C99" i="16"/>
  <c r="C106" i="16" s="1"/>
  <c r="C129" i="16" s="1"/>
  <c r="L60" i="16" s="1"/>
  <c r="M61" i="16" s="1"/>
  <c r="L61" i="16" s="1"/>
  <c r="K31" i="16" s="1"/>
  <c r="B89" i="17"/>
  <c r="B88" i="17"/>
  <c r="B86" i="17"/>
  <c r="B85" i="17"/>
  <c r="B84" i="17"/>
  <c r="B87" i="17"/>
  <c r="C83" i="12"/>
  <c r="B89" i="15"/>
  <c r="B85" i="15"/>
  <c r="B87" i="15"/>
  <c r="B88" i="15"/>
  <c r="B86" i="15"/>
  <c r="B84" i="15"/>
  <c r="L59" i="17"/>
  <c r="B102" i="18"/>
  <c r="B105" i="18"/>
  <c r="B106" i="18"/>
  <c r="B101" i="18"/>
  <c r="B103" i="18"/>
  <c r="B104" i="18"/>
  <c r="C107" i="15"/>
  <c r="C97" i="15" s="1"/>
  <c r="C108" i="18"/>
  <c r="C98" i="18" s="1"/>
  <c r="B104" i="17"/>
  <c r="B102" i="17"/>
  <c r="B101" i="17"/>
  <c r="B100" i="17"/>
  <c r="B103" i="17"/>
  <c r="B105" i="17"/>
  <c r="B85" i="18"/>
  <c r="B89" i="18"/>
  <c r="B86" i="18"/>
  <c r="B87" i="18"/>
  <c r="B88" i="18"/>
  <c r="B90" i="18"/>
  <c r="L54" i="2"/>
  <c r="L59" i="2" s="1"/>
  <c r="L51" i="2"/>
  <c r="L56" i="2" s="1"/>
  <c r="L50" i="2"/>
  <c r="L55" i="2" s="1"/>
  <c r="B113" i="2"/>
  <c r="L53" i="2"/>
  <c r="L58" i="2" s="1"/>
  <c r="B88" i="8"/>
  <c r="B90" i="8"/>
  <c r="C82" i="2"/>
  <c r="B87" i="2" s="1"/>
  <c r="L52" i="2"/>
  <c r="L57" i="2" s="1"/>
  <c r="B115" i="2"/>
  <c r="B110" i="2"/>
  <c r="B114" i="2"/>
  <c r="B111" i="2"/>
  <c r="C100" i="2"/>
  <c r="B105" i="2" s="1"/>
  <c r="B112" i="2"/>
  <c r="B105" i="9"/>
  <c r="B102" i="9"/>
  <c r="B103" i="9"/>
  <c r="B101" i="9"/>
  <c r="B88" i="9"/>
  <c r="B86" i="9"/>
  <c r="C107" i="9"/>
  <c r="C97" i="9" s="1"/>
  <c r="L59" i="9"/>
  <c r="B89" i="10"/>
  <c r="B86" i="10"/>
  <c r="B87" i="10"/>
  <c r="B104" i="9"/>
  <c r="B86" i="8"/>
  <c r="B90" i="10"/>
  <c r="B87" i="9"/>
  <c r="B106" i="8"/>
  <c r="B89" i="9"/>
  <c r="B84" i="9"/>
  <c r="B88" i="10"/>
  <c r="B89" i="8"/>
  <c r="C108" i="8"/>
  <c r="C98" i="8" s="1"/>
  <c r="B85" i="8"/>
  <c r="L60" i="10"/>
  <c r="L60" i="8"/>
  <c r="B101" i="8"/>
  <c r="B103" i="8"/>
  <c r="B104" i="8"/>
  <c r="B106" i="10"/>
  <c r="B102" i="8"/>
  <c r="B102" i="10"/>
  <c r="B104" i="10"/>
  <c r="B101" i="10"/>
  <c r="C108" i="10"/>
  <c r="C98" i="10" s="1"/>
  <c r="B102" i="7"/>
  <c r="B103" i="10"/>
  <c r="B106" i="7"/>
  <c r="B105" i="7"/>
  <c r="B101" i="7"/>
  <c r="B103" i="7"/>
  <c r="B87" i="7"/>
  <c r="B85" i="7"/>
  <c r="B86" i="7"/>
  <c r="B89" i="7"/>
  <c r="B90" i="7"/>
  <c r="L60" i="7"/>
  <c r="C108" i="7"/>
  <c r="C82" i="15" l="1"/>
  <c r="C82" i="17"/>
  <c r="C83" i="18"/>
  <c r="C99" i="17"/>
  <c r="C106" i="17" s="1"/>
  <c r="C129" i="17" s="1"/>
  <c r="L60" i="17" s="1"/>
  <c r="M61" i="17" s="1"/>
  <c r="L61" i="17" s="1"/>
  <c r="K31" i="17" s="1"/>
  <c r="C100" i="18"/>
  <c r="C107" i="18" s="1"/>
  <c r="C130" i="18" s="1"/>
  <c r="L61" i="18" s="1"/>
  <c r="M62" i="18" s="1"/>
  <c r="L62" i="18" s="1"/>
  <c r="K32" i="18" s="1"/>
  <c r="C99" i="15"/>
  <c r="C106" i="15" s="1"/>
  <c r="C129" i="15" s="1"/>
  <c r="L60" i="15" s="1"/>
  <c r="M61" i="15" s="1"/>
  <c r="L61" i="15" s="1"/>
  <c r="K31" i="15" s="1"/>
  <c r="L31" i="16"/>
  <c r="L3" i="16" s="1"/>
  <c r="M31" i="16"/>
  <c r="M3" i="16" s="1"/>
  <c r="M32" i="12"/>
  <c r="M3" i="12" s="1"/>
  <c r="L32" i="12"/>
  <c r="L3" i="12" s="1"/>
  <c r="L31" i="13"/>
  <c r="L3" i="13" s="1"/>
  <c r="M31" i="13"/>
  <c r="M3" i="13" s="1"/>
  <c r="B90" i="2"/>
  <c r="L60" i="2"/>
  <c r="B89" i="2"/>
  <c r="C109" i="2"/>
  <c r="C83" i="10"/>
  <c r="B103" i="2"/>
  <c r="B107" i="2"/>
  <c r="B88" i="2"/>
  <c r="B104" i="2"/>
  <c r="B91" i="2"/>
  <c r="B86" i="2"/>
  <c r="B102" i="2"/>
  <c r="B106" i="2"/>
  <c r="C82" i="9"/>
  <c r="C99" i="9"/>
  <c r="C106" i="9" s="1"/>
  <c r="C129" i="9" s="1"/>
  <c r="L60" i="9" s="1"/>
  <c r="M61" i="9" s="1"/>
  <c r="L61" i="9" s="1"/>
  <c r="K31" i="9" s="1"/>
  <c r="L31" i="9" s="1"/>
  <c r="L3" i="9" s="1"/>
  <c r="C83" i="8"/>
  <c r="C100" i="8"/>
  <c r="C107" i="8" s="1"/>
  <c r="C130" i="8" s="1"/>
  <c r="L61" i="8" s="1"/>
  <c r="M62" i="8" s="1"/>
  <c r="L62" i="8" s="1"/>
  <c r="K32" i="8" s="1"/>
  <c r="L32" i="8" s="1"/>
  <c r="L3" i="8" s="1"/>
  <c r="C100" i="10"/>
  <c r="C107" i="10" s="1"/>
  <c r="C130" i="10" s="1"/>
  <c r="L61" i="10" s="1"/>
  <c r="M62" i="10" s="1"/>
  <c r="L62" i="10" s="1"/>
  <c r="K32" i="10" s="1"/>
  <c r="M32" i="10" s="1"/>
  <c r="M3" i="10" s="1"/>
  <c r="C100" i="7"/>
  <c r="C83" i="7"/>
  <c r="C98" i="7" s="1"/>
  <c r="M31" i="15" l="1"/>
  <c r="M3" i="15" s="1"/>
  <c r="L31" i="15"/>
  <c r="L3" i="15" s="1"/>
  <c r="M32" i="18"/>
  <c r="M3" i="18" s="1"/>
  <c r="L32" i="18"/>
  <c r="L3" i="18" s="1"/>
  <c r="M31" i="17"/>
  <c r="M3" i="17" s="1"/>
  <c r="L31" i="17"/>
  <c r="L3" i="17" s="1"/>
  <c r="C101" i="2"/>
  <c r="C84" i="2"/>
  <c r="C99" i="2" s="1"/>
  <c r="M31" i="9"/>
  <c r="M3" i="9" s="1"/>
  <c r="M32" i="8"/>
  <c r="M3" i="8" s="1"/>
  <c r="L32" i="10"/>
  <c r="L3" i="10" s="1"/>
  <c r="C107" i="7"/>
  <c r="C130" i="7" s="1"/>
  <c r="L61" i="7" s="1"/>
  <c r="M62" i="7" s="1"/>
  <c r="L62" i="7" s="1"/>
  <c r="K32" i="7" s="1"/>
  <c r="C108" i="2" l="1"/>
  <c r="C131" i="2" s="1"/>
  <c r="L61" i="2" s="1"/>
  <c r="M62" i="2" s="1"/>
  <c r="L62" i="2" s="1"/>
  <c r="K33" i="2" s="1"/>
  <c r="M32" i="7"/>
  <c r="M3" i="7" s="1"/>
  <c r="L32" i="7"/>
  <c r="L3" i="7" s="1"/>
  <c r="M33" i="2" l="1"/>
  <c r="M3" i="2" s="1"/>
  <c r="L33" i="2"/>
  <c r="L3" i="2" s="1"/>
  <c r="M4" i="11"/>
  <c r="L35" i="11" l="1"/>
  <c r="B122" i="11" l="1"/>
  <c r="B119" i="11"/>
  <c r="B123" i="11"/>
  <c r="B120" i="11"/>
  <c r="B125" i="11"/>
  <c r="L37" i="11"/>
  <c r="L48" i="11" s="1"/>
  <c r="L49" i="11" s="1"/>
  <c r="L54" i="11" s="1"/>
  <c r="B124" i="11"/>
  <c r="L36" i="11"/>
  <c r="B121" i="11"/>
  <c r="B126" i="11"/>
  <c r="B108" i="11" l="1"/>
  <c r="C80" i="11"/>
  <c r="L51" i="11"/>
  <c r="L56" i="11" s="1"/>
  <c r="L53" i="11"/>
  <c r="L58" i="11" s="1"/>
  <c r="B113" i="11"/>
  <c r="L52" i="11"/>
  <c r="L57" i="11" s="1"/>
  <c r="B112" i="11"/>
  <c r="B111" i="11"/>
  <c r="C98" i="11"/>
  <c r="B110" i="11"/>
  <c r="B109" i="11"/>
  <c r="L50" i="11"/>
  <c r="L55" i="11" s="1"/>
  <c r="C127" i="11"/>
  <c r="C128" i="11"/>
  <c r="L59" i="11" l="1"/>
  <c r="B85" i="11"/>
  <c r="B86" i="11"/>
  <c r="B89" i="11"/>
  <c r="B88" i="11"/>
  <c r="B87" i="11"/>
  <c r="B84" i="11"/>
  <c r="B105" i="11"/>
  <c r="B102" i="11"/>
  <c r="B101" i="11"/>
  <c r="B104" i="11"/>
  <c r="B103" i="11"/>
  <c r="B100" i="11"/>
  <c r="C107" i="11"/>
  <c r="C97" i="11" s="1"/>
  <c r="C82" i="11" l="1"/>
  <c r="C99" i="11"/>
  <c r="C106" i="11" s="1"/>
  <c r="C129" i="11" s="1"/>
  <c r="L60" i="11" s="1"/>
  <c r="M61" i="11" s="1"/>
  <c r="L61" i="11" s="1"/>
  <c r="K31" i="11" s="1"/>
  <c r="M31" i="11" s="1"/>
  <c r="M3" i="11" s="1"/>
  <c r="L31" i="11" l="1"/>
  <c r="L3" i="11" s="1"/>
  <c r="M28" i="14" l="1"/>
  <c r="L38" i="14" l="1"/>
  <c r="L48" i="14" l="1"/>
  <c r="L37" i="14"/>
  <c r="B113" i="14" l="1"/>
  <c r="L50" i="14"/>
  <c r="L55" i="14" s="1"/>
  <c r="B109" i="14"/>
  <c r="B112" i="14"/>
  <c r="L52" i="14"/>
  <c r="L57" i="14" s="1"/>
  <c r="B110" i="14"/>
  <c r="L53" i="14"/>
  <c r="L58" i="14" s="1"/>
  <c r="L49" i="14"/>
  <c r="L54" i="14" s="1"/>
  <c r="L59" i="14" s="1"/>
  <c r="C98" i="14"/>
  <c r="L51" i="14"/>
  <c r="L56" i="14" s="1"/>
  <c r="B108" i="14"/>
  <c r="C80" i="14"/>
  <c r="B111" i="14"/>
  <c r="B89" i="14" l="1"/>
  <c r="B86" i="14"/>
  <c r="B85" i="14"/>
  <c r="B87" i="14"/>
  <c r="B88" i="14"/>
  <c r="B84" i="14"/>
  <c r="C82" i="14" s="1"/>
  <c r="C107" i="14"/>
  <c r="C97" i="14" s="1"/>
  <c r="B100" i="14"/>
  <c r="C99" i="14" s="1"/>
  <c r="B102" i="14"/>
  <c r="B103" i="14"/>
  <c r="B101" i="14"/>
  <c r="B105" i="14"/>
  <c r="B104" i="14"/>
  <c r="C106" i="14" l="1"/>
  <c r="C129" i="14" s="1"/>
  <c r="L60" i="14" s="1"/>
  <c r="M61" i="14" s="1"/>
  <c r="L61" i="14" s="1"/>
  <c r="K31" i="14" s="1"/>
  <c r="M31" i="14" l="1"/>
  <c r="M3" i="14" s="1"/>
  <c r="L31" i="14"/>
  <c r="L3" i="14" s="1"/>
</calcChain>
</file>

<file path=xl/sharedStrings.xml><?xml version="1.0" encoding="utf-8"?>
<sst xmlns="http://schemas.openxmlformats.org/spreadsheetml/2006/main" count="3255" uniqueCount="373">
  <si>
    <t>Sueldo Base</t>
  </si>
  <si>
    <t>Complemento de Destino</t>
  </si>
  <si>
    <t>Complemento Específico (General + CCAA)</t>
  </si>
  <si>
    <t>Grupo A1</t>
  </si>
  <si>
    <t>Nivel 24</t>
  </si>
  <si>
    <t>Nivel 26</t>
  </si>
  <si>
    <t>Grupo A2</t>
  </si>
  <si>
    <t>Primer sexenio</t>
  </si>
  <si>
    <t>Segundo sexenio</t>
  </si>
  <si>
    <t>Tercer sexenio</t>
  </si>
  <si>
    <t>Cuarto sexenio</t>
  </si>
  <si>
    <t>Quinto sexenio</t>
  </si>
  <si>
    <t>EXTRA: Sueldo Base</t>
  </si>
  <si>
    <t>Trienio A1 (cada uno)</t>
  </si>
  <si>
    <t>EXTRA: Trienio A1 (cada uno)</t>
  </si>
  <si>
    <t>Trienio A2 (cada uno)</t>
  </si>
  <si>
    <t>EXTRA: Trienio A2 (cada uno)</t>
  </si>
  <si>
    <t>DESCUENTOS</t>
  </si>
  <si>
    <t>MUFACE</t>
  </si>
  <si>
    <t>DERECHOS PASIVOS</t>
  </si>
  <si>
    <t>CUOTA OBRERA (funcionarios/as)</t>
  </si>
  <si>
    <t>CUOTA OBRERA (interinos/as)</t>
  </si>
  <si>
    <t>COMPLEMENTOS</t>
  </si>
  <si>
    <t>CARGOS DIRECTIVOS</t>
  </si>
  <si>
    <t>Dirección</t>
  </si>
  <si>
    <t>TIPO DE CENTRO</t>
  </si>
  <si>
    <t>Observaciones</t>
  </si>
  <si>
    <t>A</t>
  </si>
  <si>
    <t>B</t>
  </si>
  <si>
    <t>C</t>
  </si>
  <si>
    <t>D</t>
  </si>
  <si>
    <t>E</t>
  </si>
  <si>
    <t>F</t>
  </si>
  <si>
    <t>Al menos 54 uds</t>
  </si>
  <si>
    <t>Entre 27 y 53 uds</t>
  </si>
  <si>
    <t>Entre 28 y 26 uds</t>
  </si>
  <si>
    <t>Entre 9 y 17 uds</t>
  </si>
  <si>
    <t>Entre 3 y 8 uds</t>
  </si>
  <si>
    <t>1 o 2 uds</t>
  </si>
  <si>
    <t>Jefatura de Estudios</t>
  </si>
  <si>
    <t>Secretaría</t>
  </si>
  <si>
    <t>A (E. Medias)</t>
  </si>
  <si>
    <t>B (E. Medias)</t>
  </si>
  <si>
    <t>C (E. Medias)</t>
  </si>
  <si>
    <t>D (E. Medias)</t>
  </si>
  <si>
    <t>Más de 1800 alumnos</t>
  </si>
  <si>
    <t>Entre 1001 y 1800 alumnos</t>
  </si>
  <si>
    <t>Entre 601 y 1000 alumnos</t>
  </si>
  <si>
    <t>Hasta 600 alumnos</t>
  </si>
  <si>
    <t>Jefatura de Estudios Adjunta</t>
  </si>
  <si>
    <t>Jefatura de Residencia Tipo A</t>
  </si>
  <si>
    <t>Jefatura de Residencia Tipo B</t>
  </si>
  <si>
    <t>OTROS PUESTOS (Complemento Específico Singular)</t>
  </si>
  <si>
    <t>Jefatura de Departamento</t>
  </si>
  <si>
    <t>Coordinación de Calidad</t>
  </si>
  <si>
    <t>ASESORÍA LINGÜÍSTICA - Complemento bilingüísmo</t>
  </si>
  <si>
    <t>Importe C1</t>
  </si>
  <si>
    <t>Importe por hora de docencia en DNL</t>
  </si>
  <si>
    <t>COMPLEMENTO DE ITINERANCIAS</t>
  </si>
  <si>
    <t>0 a 50 km semanales</t>
  </si>
  <si>
    <t>51 a 100 km semanales</t>
  </si>
  <si>
    <t>101 a 150 km semanales</t>
  </si>
  <si>
    <t>151 a 200 km semanales</t>
  </si>
  <si>
    <t>201 a 250 km semanales</t>
  </si>
  <si>
    <t>251 a 300 km semanales</t>
  </si>
  <si>
    <t>301 a 350 km semanales</t>
  </si>
  <si>
    <t>351 a 400 km semanales</t>
  </si>
  <si>
    <t>401 a 450 km semanales</t>
  </si>
  <si>
    <t>Más de 450 km semanales</t>
  </si>
  <si>
    <t>A (CRAs)</t>
  </si>
  <si>
    <t>B (CRAs)</t>
  </si>
  <si>
    <t>C (CRAs)</t>
  </si>
  <si>
    <t>D (CRAs)</t>
  </si>
  <si>
    <t>E (CRAs)</t>
  </si>
  <si>
    <t>F (CRAs)</t>
  </si>
  <si>
    <t>OTROS COMPLEMENTOS (Complemento Específico Singular)</t>
  </si>
  <si>
    <t>Complemento de Maestros en IES</t>
  </si>
  <si>
    <t>Complemento Docente en CRAs</t>
  </si>
  <si>
    <t>Maestro en CRA</t>
  </si>
  <si>
    <t>Orientador en CRA</t>
  </si>
  <si>
    <t>Docente en Aula de centro penitenciario</t>
  </si>
  <si>
    <t>Docente en Centro de Educación Especial</t>
  </si>
  <si>
    <t>Grupo C1</t>
  </si>
  <si>
    <t>Grupo C2</t>
  </si>
  <si>
    <t>EXTRA: Trienio C1 (cada uno)</t>
  </si>
  <si>
    <t>Trienio C1 (cada uno)</t>
  </si>
  <si>
    <t>EXTRA: Trienio C2 (cada uno)</t>
  </si>
  <si>
    <t>Trienio C2 (cada uno)</t>
  </si>
  <si>
    <t>Trienio Agrupaciones profesionales (cada uno)</t>
  </si>
  <si>
    <t>Antiguo grupo E</t>
  </si>
  <si>
    <t>EXTRA: Trienio Agrupaciones profesionales (cada uno)</t>
  </si>
  <si>
    <t>Nivel 21</t>
  </si>
  <si>
    <t>Complemento Específico (General + CCAA) - Inspección</t>
  </si>
  <si>
    <t>Complemento Específico (General + CCAA) - Catedráticos</t>
  </si>
  <si>
    <t>A (Colegios, CEPAs, CEEs)</t>
  </si>
  <si>
    <t>B (Colegios, CEPAs, CEEs)</t>
  </si>
  <si>
    <t>C (Colegios, CEPAs, CEEs)</t>
  </si>
  <si>
    <t>D (Colegios, CEPAs, CEEs)</t>
  </si>
  <si>
    <t>E (Colegios, CEPAs, CEEs)</t>
  </si>
  <si>
    <t>F (Colegios, CEPAs, CEEs)</t>
  </si>
  <si>
    <t>CRIER</t>
  </si>
  <si>
    <t>Secretaría del CRFP</t>
  </si>
  <si>
    <t>Coordinación Equipos de Atención Hospitalaria y Domiciliaria</t>
  </si>
  <si>
    <t>Coordinación Programa Recuperación Pueblos Abandonados</t>
  </si>
  <si>
    <t>Jefatura de Residencia de CEE</t>
  </si>
  <si>
    <t>Docente en Equipo de Atención Hospitalaria y Domiciliaria</t>
  </si>
  <si>
    <t>Asesor Técnico Docente Tipo A</t>
  </si>
  <si>
    <t>Asesor Técnico Docente Tipo B</t>
  </si>
  <si>
    <t>Inspector/a Coordinador/a</t>
  </si>
  <si>
    <t>Inspector/a de Educación</t>
  </si>
  <si>
    <t>Inspector/a General de Educación</t>
  </si>
  <si>
    <t>Inspector/a Central / Jefe del Servicio de Inspección</t>
  </si>
  <si>
    <t>COMPLEMENTO ESPECÍFICO DE FORMACIÓN PERMANENTE</t>
  </si>
  <si>
    <t>Maestros</t>
  </si>
  <si>
    <t>Enseñanzas medias</t>
  </si>
  <si>
    <t>Importe máximo</t>
  </si>
  <si>
    <t>Importe Base (importe mínimo)</t>
  </si>
  <si>
    <t>Cuantía máxima de confirmarse las dos subidas variables del 0,5%</t>
  </si>
  <si>
    <t>Sueldo base</t>
  </si>
  <si>
    <t>C. Destino</t>
  </si>
  <si>
    <t>C. Espefícicos (General + CCAA)</t>
  </si>
  <si>
    <t>TOTAL BRUTO</t>
  </si>
  <si>
    <t>Trienios A1</t>
  </si>
  <si>
    <t>Trienios A2</t>
  </si>
  <si>
    <t>Trienios C1</t>
  </si>
  <si>
    <t>Trienios C2</t>
  </si>
  <si>
    <t>Trienios</t>
  </si>
  <si>
    <t>Trienios agrupaciones especiales</t>
  </si>
  <si>
    <t>TOTAL TRIENIOS</t>
  </si>
  <si>
    <t>Número de sexenios</t>
  </si>
  <si>
    <t>Selecciona Tipo de centro</t>
  </si>
  <si>
    <t>Director</t>
  </si>
  <si>
    <t>Director/a</t>
  </si>
  <si>
    <t>Secretario/a</t>
  </si>
  <si>
    <t>Jefe/a de estudios</t>
  </si>
  <si>
    <t>Selecciona Centro</t>
  </si>
  <si>
    <t>CRA</t>
  </si>
  <si>
    <t>CEE</t>
  </si>
  <si>
    <t>CEPA</t>
  </si>
  <si>
    <t>CEIP</t>
  </si>
  <si>
    <t>%</t>
  </si>
  <si>
    <t>Ninguno</t>
  </si>
  <si>
    <t>Jefe/a de estudios adjunto/a</t>
  </si>
  <si>
    <t>Sí</t>
  </si>
  <si>
    <t>No</t>
  </si>
  <si>
    <t>En IES</t>
  </si>
  <si>
    <t>En CRA</t>
  </si>
  <si>
    <t>En CEE</t>
  </si>
  <si>
    <t>Certificado C1</t>
  </si>
  <si>
    <t>Número de horas</t>
  </si>
  <si>
    <t>Puesto bilingüe en área no língüística</t>
  </si>
  <si>
    <t>¿Itinerante?</t>
  </si>
  <si>
    <t>Km semanales</t>
  </si>
  <si>
    <t>C. Específico Formación (Sexenios)</t>
  </si>
  <si>
    <t>Jefatura de Estudios adjunta</t>
  </si>
  <si>
    <t>Complemento Maestros en IES</t>
  </si>
  <si>
    <t>Complemento Maestros en CRA</t>
  </si>
  <si>
    <t>Complemento Maestros en CEE</t>
  </si>
  <si>
    <t>Complemento lingüístico</t>
  </si>
  <si>
    <t>Complemento itinerancias</t>
  </si>
  <si>
    <t>Jefe/Secretario</t>
  </si>
  <si>
    <t>Director CRA</t>
  </si>
  <si>
    <t>Jefe/Secre CRA</t>
  </si>
  <si>
    <t>Introduce el número de trienios de cada tipo</t>
  </si>
  <si>
    <t>Situación laboral</t>
  </si>
  <si>
    <t>Funcionario/a de carrera</t>
  </si>
  <si>
    <t>Funcionario/a en prácticas</t>
  </si>
  <si>
    <t>Funcionario/a interino/a</t>
  </si>
  <si>
    <t>Descuentos</t>
  </si>
  <si>
    <t>Cuota obrera (funcionarios/as de carrera después de 2011)</t>
  </si>
  <si>
    <t>Cuota obrera (funcionarios/as interinos/as)</t>
  </si>
  <si>
    <t>IRPF</t>
  </si>
  <si>
    <t>PAGA EXTRA</t>
  </si>
  <si>
    <t>Desglose de IRPF</t>
  </si>
  <si>
    <t>Retribuciones totales anuales</t>
  </si>
  <si>
    <t>Datos para el cálculo del IRPF</t>
  </si>
  <si>
    <t>Mínimo personal</t>
  </si>
  <si>
    <t>¿Mayor de 65 años?</t>
  </si>
  <si>
    <t>Mínimo por ascendientes</t>
  </si>
  <si>
    <t>Nº de descendientes menores de 3 años</t>
  </si>
  <si>
    <t>Nº total de descendientes (hijos/as)</t>
  </si>
  <si>
    <t>Mínimo por descendientes</t>
  </si>
  <si>
    <t>HIJOS</t>
  </si>
  <si>
    <t>Primero</t>
  </si>
  <si>
    <t>Segundo</t>
  </si>
  <si>
    <t>tercero</t>
  </si>
  <si>
    <t>cuarto</t>
  </si>
  <si>
    <t>Grado de Discapacidad propia</t>
  </si>
  <si>
    <t>Sin discapacidad</t>
  </si>
  <si>
    <t>Igual o superior al 65%</t>
  </si>
  <si>
    <t>Menor del 33%</t>
  </si>
  <si>
    <t>Más de 33% y menos de 65%</t>
  </si>
  <si>
    <t>Discapacidad propia</t>
  </si>
  <si>
    <t>Discapacidad ascendientes</t>
  </si>
  <si>
    <t>Discapacidad desdencientes</t>
  </si>
  <si>
    <t>¿Necesitas ayuda de terceras personas o tienes movilidad reducida?</t>
  </si>
  <si>
    <t>Anualidades por alimentos en favor de los hijos/as</t>
  </si>
  <si>
    <t>Pensión anual compensatoria en favor del cónyuge</t>
  </si>
  <si>
    <t>Número de descencientes con discapacidad igual o superior al 65%</t>
  </si>
  <si>
    <t>Edad</t>
  </si>
  <si>
    <t>Grado de Discapacidad</t>
  </si>
  <si>
    <t>Nº de descendientes con los que convive</t>
  </si>
  <si>
    <t>¿Cómputo por entero de descendientes?</t>
  </si>
  <si>
    <t>Mínimo ascendiente 1</t>
  </si>
  <si>
    <t>Mínimo ascendiente 2</t>
  </si>
  <si>
    <t>Mínimo ascendiente 3</t>
  </si>
  <si>
    <t>Mínimo ascendiente 4</t>
  </si>
  <si>
    <t>¿Necesita ayuda de terceras personas o tiene movilidad reducida?</t>
  </si>
  <si>
    <t>Discapacidad ascendiente 1</t>
  </si>
  <si>
    <t>Discapacidad ascendiente 2</t>
  </si>
  <si>
    <t>Discapacidad ascendiente 3</t>
  </si>
  <si>
    <t>Discapacidad ascendiente 4</t>
  </si>
  <si>
    <t>Gastos de asistencia propia</t>
  </si>
  <si>
    <t>Número de descendientes con discapacidad de entre 33 y &lt;65% sin movilidad reducida y que no necesitan ayuda de terceras personas</t>
  </si>
  <si>
    <t>Total mínimo personal y familiar</t>
  </si>
  <si>
    <t xml:space="preserve">Base </t>
  </si>
  <si>
    <t>Cantidad tramo 1 (hasta 12.450 €)</t>
  </si>
  <si>
    <t>Cantidad tramo 2 (de 12.450 a 20.200 €)</t>
  </si>
  <si>
    <t>Cantidad tramo 3 (de 20.200 a 35.200 €)</t>
  </si>
  <si>
    <t>Cantidad tramo 4 (de 35.200 a 60.000 €)</t>
  </si>
  <si>
    <t>Cantidad tramo 5 (de 60.000 a 300.200 €)</t>
  </si>
  <si>
    <t>IRPF Tramo 1 (19%)</t>
  </si>
  <si>
    <t>IRPF Tramo 2 (24%)</t>
  </si>
  <si>
    <t>IRPF Tramo 3 (30%)</t>
  </si>
  <si>
    <t>IRPF Tramo 4 (37%)</t>
  </si>
  <si>
    <t>IRPF Tramo 5 (45%)</t>
  </si>
  <si>
    <t>% DE IRPF</t>
  </si>
  <si>
    <t>TOTAL A PERCIBIR</t>
  </si>
  <si>
    <t>Cálculo de cuota obrera (Funcionariado de carrera/ en prácticas)</t>
  </si>
  <si>
    <t>Cálculo de cuota obrera (funcionariado interino)</t>
  </si>
  <si>
    <t>Contingencias comunes</t>
  </si>
  <si>
    <t>Mecanismo de Equidad Intergeneracional</t>
  </si>
  <si>
    <t>Desempleo</t>
  </si>
  <si>
    <t>Formación profesional</t>
  </si>
  <si>
    <t>TOTAL</t>
  </si>
  <si>
    <t>Coeficiente reductor</t>
  </si>
  <si>
    <t>Contingencias comunes empresa</t>
  </si>
  <si>
    <t>MUFACE (funcionarios/as de carrera y en prácticas) *</t>
  </si>
  <si>
    <t>Derechos Pasivos (funcionarios/as de carrera antes de 2011) *</t>
  </si>
  <si>
    <t>Datos para el cálculo de descuentos</t>
  </si>
  <si>
    <t>Introduce los datos para el cálculo de tu nómina</t>
  </si>
  <si>
    <t xml:space="preserve">NÓMINA mensual </t>
  </si>
  <si>
    <t>Gastos deducibles (SS, Muface, derechos pasivos)</t>
  </si>
  <si>
    <t>Situación familiar</t>
  </si>
  <si>
    <t>Casados y no separados legalmente cuando su cónyuge no obtiene rentas superiores a 1.500€ anuales excluidas las exentas</t>
  </si>
  <si>
    <t>Solteros sin hijos, casados cuyo cónyuge obtiene rentas superiores a 1.500€ anuales, o no se quiere informar sobre su situación familiar.</t>
  </si>
  <si>
    <t>Familia monoparental con hijos: Solteros, viudos, divorciados o separados legalmente con hijos solteros menores de 18 años o incapacitados judicialmente y sometidos a patria potestad prorrogada o rehabilitada que convivan contigo sin convivir también con el otro progenitor.</t>
  </si>
  <si>
    <t>Otros gastos deducibles (general, pensión comp., discapacidad)</t>
  </si>
  <si>
    <t>CALCULO ANUALIDADES</t>
  </si>
  <si>
    <t>Base 1</t>
  </si>
  <si>
    <t>Base 2</t>
  </si>
  <si>
    <t>Cuota1.1</t>
  </si>
  <si>
    <t>Cuota1.2</t>
  </si>
  <si>
    <t>Cuota</t>
  </si>
  <si>
    <t>CUOTA1</t>
  </si>
  <si>
    <t>PRECUOTA 2</t>
  </si>
  <si>
    <t>Cuota 2</t>
  </si>
  <si>
    <t>CUOTA</t>
  </si>
  <si>
    <t>Cuota base sin anualidades</t>
  </si>
  <si>
    <t>LÍMITE DEL 43%</t>
  </si>
  <si>
    <t>pensión</t>
  </si>
  <si>
    <t>desempleo</t>
  </si>
  <si>
    <t>CUOTA FINAL</t>
  </si>
  <si>
    <t>HAY LÍMITE?</t>
  </si>
  <si>
    <t>LÍMITE</t>
  </si>
  <si>
    <t>Minoración de pagos por adquisición/rehabilitación de vivienda</t>
  </si>
  <si>
    <t>Ascendiente nº 1 a cargo</t>
  </si>
  <si>
    <t>Ascendiente nº 2 a cargo</t>
  </si>
  <si>
    <t>Ascendiente nº 3 a cargo</t>
  </si>
  <si>
    <t>Ascendiente nº 4 a cargo</t>
  </si>
  <si>
    <t>TOTAL IRPF con minoraciones por anualidades, vivienda y 43%</t>
  </si>
  <si>
    <t>Reducción por rendimientos del trabajo</t>
  </si>
  <si>
    <t>TOTAL IRPF por tramos sin minoraciones ni límites</t>
  </si>
  <si>
    <t>Gastos por adquisición/rehabilitación de vivienda antes de 2013</t>
  </si>
  <si>
    <t>Introduce el % de jornada (media jornada 50%, un tercio 33,33%)</t>
  </si>
  <si>
    <t>Docente en Aula Penitenciaria</t>
  </si>
  <si>
    <t>Docente en aula penitenciaria</t>
  </si>
  <si>
    <t>En Aula Penitenciaria</t>
  </si>
  <si>
    <t>Complemento Aula penitenciaria</t>
  </si>
  <si>
    <t>Consolidación complemento director</t>
  </si>
  <si>
    <t>Selecciona Cargo Directivo o Consolidación complemento dirección</t>
  </si>
  <si>
    <t>ExDirector/a 1 mandato</t>
  </si>
  <si>
    <t>ExDirector/a 2 mandatos</t>
  </si>
  <si>
    <t>ExDirector/a 3 mandatos</t>
  </si>
  <si>
    <t>Selecciona centro</t>
  </si>
  <si>
    <t>IES, IESO, SES, CIFP</t>
  </si>
  <si>
    <t>Director CEPA</t>
  </si>
  <si>
    <t>Jefe/Secre CEPA</t>
  </si>
  <si>
    <t>CEPA, CEE</t>
  </si>
  <si>
    <t>Coordinación de calidad</t>
  </si>
  <si>
    <t>GRUPO</t>
  </si>
  <si>
    <t>NIVEL</t>
  </si>
  <si>
    <t>INDEMNIZACIÓN POR RAZÓN DE SERVICIO (Kilometraje)</t>
  </si>
  <si>
    <t>Ir a inicio</t>
  </si>
  <si>
    <t>Complemento Inspección</t>
  </si>
  <si>
    <t>Selecciona cargo</t>
  </si>
  <si>
    <t>Cuantías de los complementos</t>
  </si>
  <si>
    <t>Nómina de Catedráticos/as de Secundaria</t>
  </si>
  <si>
    <t>Nómina de Profesores/as de Secundaria</t>
  </si>
  <si>
    <t>Nómina de Profesores/as Técnicos/as de FP</t>
  </si>
  <si>
    <t>Nómina de Especialistas en Sectores Singulares</t>
  </si>
  <si>
    <t>Nómina de Maestros/as</t>
  </si>
  <si>
    <t>Nómina de Catedráticos de EOI</t>
  </si>
  <si>
    <t>Nómina de Profesores/as de EOI</t>
  </si>
  <si>
    <t>Nómina Catedráticos/as Música y Artes Escénicas</t>
  </si>
  <si>
    <t>Nómina Profesores/as Música y Artes Escénicas</t>
  </si>
  <si>
    <t>Nómina Catedráticos/as Artes Plásticas y Diseño</t>
  </si>
  <si>
    <t>Nómina Profesores/as Artes Plásticas y Diseño</t>
  </si>
  <si>
    <t>Nómina de Asesores/as Técnicos Docentes</t>
  </si>
  <si>
    <t>Nómina de Inspectores/as de Educación</t>
  </si>
  <si>
    <t>Nómina de Maestros de Taller</t>
  </si>
  <si>
    <t>Nómina de Orientadores/as</t>
  </si>
  <si>
    <t>Consolidación complemento director/a</t>
  </si>
  <si>
    <t>Tipo de centro</t>
  </si>
  <si>
    <t>Centro docente</t>
  </si>
  <si>
    <t>Número de mandatos</t>
  </si>
  <si>
    <t>CEPA, CEE, CEIP</t>
  </si>
  <si>
    <t>IES, IESO, SES, CIFP, CP, EOI, EA</t>
  </si>
  <si>
    <t>3 o más</t>
  </si>
  <si>
    <t>CONSOLIDACIÓN DIRECTOR</t>
  </si>
  <si>
    <t>Cuantía 2024 provisional (enero)</t>
  </si>
  <si>
    <t>Cuantía 2024 con subida 0,5% de 2023</t>
  </si>
  <si>
    <t>Cuantía 2024 si se confirma 0,5% adicional</t>
  </si>
  <si>
    <t>CUANTÍA USADA</t>
  </si>
  <si>
    <t>-</t>
  </si>
  <si>
    <t>.</t>
  </si>
  <si>
    <t>Selecciona Consolidación complemento dirección</t>
  </si>
  <si>
    <t>Turismos (céntimos por km)</t>
  </si>
  <si>
    <t>Motocicletas (céntimos por km)</t>
  </si>
  <si>
    <t>Alojamiento y desayuno</t>
  </si>
  <si>
    <t>Manutención</t>
  </si>
  <si>
    <t>Dieta entera</t>
  </si>
  <si>
    <t>Presidente Categoría Primera (procesos de subgrupo A1)</t>
  </si>
  <si>
    <t>Vocal Categoría Primera (procesos de subgrupo A1)</t>
  </si>
  <si>
    <t>Presidente Categoría Segunda (procesos de subgrupo A2)</t>
  </si>
  <si>
    <t>Vocal Categoría Segunda (procesos de subgrupo A2)</t>
  </si>
  <si>
    <t>Presidente y Secretarios</t>
  </si>
  <si>
    <t>Vocales</t>
  </si>
  <si>
    <t>INDEMNIZACIONES POR DIETAS (por día)</t>
  </si>
  <si>
    <t>INDEMNIZACIONES POR PARTICIPACIÓN EN TRIBUNALES Y COMISIONES DE SELECCIÓN (por asistencia)</t>
  </si>
  <si>
    <t>INDEMNIZACIONES POR PARTICIPACIÓN EN TRIBUNALES Y COMISIONES DE VALORACIÓN EN PROCESOS DE PROVISIÓN DE PUESTOS (por asistencia)</t>
  </si>
  <si>
    <t>ITINERANCIAS - INDEMNIZACIONES POR HORA LECTIVA NO REDUCIDA</t>
  </si>
  <si>
    <r>
      <rPr>
        <b/>
        <sz val="14"/>
        <color rgb="FFFF0000"/>
        <rFont val="Calibri"/>
        <family val="2"/>
        <scheme val="minor"/>
      </rPr>
      <t xml:space="preserve">IMPORTE DE LOS COMPLEMENTOS SALARIALES </t>
    </r>
    <r>
      <rPr>
        <sz val="14"/>
        <color rgb="FFFF0000"/>
        <rFont val="Calibri"/>
        <family val="2"/>
        <scheme val="minor"/>
      </rPr>
      <t>- Estos valores (excepto indemnizaciones) contemplan la subida adicional del 0.5% aprobada en febrero de 2024. Además, subirán un 2% con respecto a estos valores más adelante, y podrían subir otro 0,5% adicional.</t>
    </r>
  </si>
  <si>
    <t>Actualización de 0,20 a 0,26 desde 1 de enero de 2024</t>
  </si>
  <si>
    <t>¿Maestro/a en IES, CRA, Aula, hospitalaria, penitenciaria o CEE?</t>
  </si>
  <si>
    <t>Complemento Aula Hospitalaria y Domiciliaria</t>
  </si>
  <si>
    <t>En Aula Hospitalaria</t>
  </si>
  <si>
    <t>Docente en Aula Hospitalaria y Domiciliaria</t>
  </si>
  <si>
    <t>Docente en aula hospitalaria</t>
  </si>
  <si>
    <t>GRATIFICACIÓN TUTORES FP DUAL</t>
  </si>
  <si>
    <t>Gratificación fija</t>
  </si>
  <si>
    <t>Gratificación por alumno/a</t>
  </si>
  <si>
    <t>Gratificación por empresa</t>
  </si>
  <si>
    <t>Gratificación máxima</t>
  </si>
  <si>
    <t>GRATIFICACIONES TRIBUNALES DE EVALUACIÓN Y CALIFICACIÓN PRUEBAS LIBRES BACHILLERATO Y PREMIOS EXTRAORDINARIOS DE BACHILLERATO</t>
  </si>
  <si>
    <t>Presidencia y Secretaría (por asistencia, máximo 6 asistencias)</t>
  </si>
  <si>
    <t>Vocales y asesores/as docentes especializados/as (por asistencia, máximo 6 asistencias)</t>
  </si>
  <si>
    <t>GRATIFICACIONES TRIBUNALES DE EVALUACIÓN Y CALIFICACIÓN PRUEBAS LIBRES ESO Y PREMIOS EXTRAORDINARIOS DE ESO Y ENSEÑANZAS ARTÍSTICAS</t>
  </si>
  <si>
    <t>Vocales (por asistencia, máximo 6 asistencias)</t>
  </si>
  <si>
    <t>GRATIFICACIONES TRIBUNALES DE EVALUACIÓN Y CALIFICACIÓN PRUEBAS LIBRES TÉCNICO Y TÉCNICO SUPERIOR FP</t>
  </si>
  <si>
    <t>Presidencia, importe fijo</t>
  </si>
  <si>
    <t>Presidencia, gratificación máxima</t>
  </si>
  <si>
    <t>Secretaría y vocales, importe fijo</t>
  </si>
  <si>
    <t>Secretaría y vocales, gratificación máxima</t>
  </si>
  <si>
    <t>Presidencia, importe por examen</t>
  </si>
  <si>
    <t>Secretaría y vocales, importe por examen</t>
  </si>
  <si>
    <t>GRATIFICACIONES TRIBUNALES DE EVALUACIÓN Y CALIFICACIÓN PRUEBAS ACCESO A FP</t>
  </si>
  <si>
    <t>GRATIFICACIONES TRIBUNALES DE EVALUACIÓN Y CALIFICACIÓN PRUEBA EXTERNA BACCALAUREAT</t>
  </si>
  <si>
    <t>GRATIFICACIONES TRIBUNALES DE EVALUACIÓN Y CALIFICACIÓN PRUEBAS ESPECÍFICAS B1 PARA ALUMNADO DE ESO EN CENTROS BILINGÜES</t>
  </si>
  <si>
    <t>GRATIFICACIONES TRIBUNALES DE EVALUACIÓN Y CALIFICACIÓN PRUEBAS LIBRES EASA Y PERAM</t>
  </si>
  <si>
    <t>GRATIFICACION PLAN DE EMPLEO JUVENIL</t>
  </si>
  <si>
    <t>Coordinación del Plan de Acción para el Empleo Juvenil (importe máximo)</t>
  </si>
  <si>
    <t>Versión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</si>
</sst>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0.0000%"/>
    <numFmt numFmtId="165" formatCode="_-[$€-2]\ * #,##0.00_-;\-[$€-2]\ * #,##0.00_-;_-[$€-2]\ 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0"/>
      <name val="Arial"/>
      <family val="2"/>
    </font>
    <font>
      <i/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88">
    <xf numFmtId="0" fontId="0" fillId="0" borderId="0" xfId="0"/>
    <xf numFmtId="0" fontId="0" fillId="2" borderId="0" xfId="0" applyFill="1"/>
    <xf numFmtId="0" fontId="0" fillId="3" borderId="0" xfId="0" applyFill="1"/>
    <xf numFmtId="0" fontId="3" fillId="2" borderId="0" xfId="0" applyFont="1" applyFill="1"/>
    <xf numFmtId="0" fontId="0" fillId="2" borderId="0" xfId="0" applyFill="1" applyProtection="1"/>
    <xf numFmtId="0" fontId="4" fillId="2" borderId="0" xfId="0" applyFont="1" applyFill="1" applyProtection="1"/>
    <xf numFmtId="0" fontId="5" fillId="2" borderId="7" xfId="0" applyFont="1" applyFill="1" applyBorder="1" applyAlignment="1" applyProtection="1">
      <alignment horizontal="center"/>
    </xf>
    <xf numFmtId="0" fontId="0" fillId="2" borderId="0" xfId="0" applyFill="1" applyBorder="1" applyProtection="1"/>
    <xf numFmtId="0" fontId="5" fillId="2" borderId="9" xfId="0" applyFont="1" applyFill="1" applyBorder="1" applyAlignment="1" applyProtection="1">
      <alignment horizontal="center"/>
    </xf>
    <xf numFmtId="0" fontId="5" fillId="2" borderId="9" xfId="0" applyFont="1" applyFill="1" applyBorder="1" applyProtection="1"/>
    <xf numFmtId="0" fontId="5" fillId="2" borderId="0" xfId="0" applyFont="1" applyFill="1" applyBorder="1" applyProtection="1"/>
    <xf numFmtId="44" fontId="5" fillId="2" borderId="10" xfId="1" applyFont="1" applyFill="1" applyBorder="1" applyProtection="1"/>
    <xf numFmtId="0" fontId="5" fillId="2" borderId="11" xfId="0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5" fillId="2" borderId="11" xfId="0" applyFont="1" applyFill="1" applyBorder="1" applyProtection="1"/>
    <xf numFmtId="0" fontId="0" fillId="2" borderId="8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44" fontId="5" fillId="2" borderId="5" xfId="1" applyFont="1" applyFill="1" applyBorder="1" applyProtection="1"/>
    <xf numFmtId="44" fontId="5" fillId="2" borderId="6" xfId="1" applyFont="1" applyFill="1" applyBorder="1" applyProtection="1"/>
    <xf numFmtId="0" fontId="6" fillId="2" borderId="0" xfId="0" applyFont="1" applyFill="1" applyProtection="1"/>
    <xf numFmtId="0" fontId="0" fillId="2" borderId="0" xfId="0" applyFont="1" applyFill="1" applyProtection="1"/>
    <xf numFmtId="0" fontId="3" fillId="5" borderId="2" xfId="0" applyFont="1" applyFill="1" applyBorder="1" applyProtection="1"/>
    <xf numFmtId="0" fontId="3" fillId="5" borderId="1" xfId="0" applyFont="1" applyFill="1" applyBorder="1" applyProtection="1"/>
    <xf numFmtId="0" fontId="3" fillId="5" borderId="4" xfId="0" applyFont="1" applyFill="1" applyBorder="1" applyProtection="1"/>
    <xf numFmtId="0" fontId="3" fillId="5" borderId="6" xfId="0" applyFont="1" applyFill="1" applyBorder="1" applyProtection="1"/>
    <xf numFmtId="0" fontId="5" fillId="2" borderId="1" xfId="0" applyFont="1" applyFill="1" applyBorder="1" applyAlignment="1" applyProtection="1">
      <alignment horizontal="right"/>
    </xf>
    <xf numFmtId="0" fontId="5" fillId="2" borderId="5" xfId="0" applyFont="1" applyFill="1" applyBorder="1" applyAlignment="1" applyProtection="1">
      <alignment horizontal="right"/>
    </xf>
    <xf numFmtId="0" fontId="5" fillId="2" borderId="6" xfId="0" applyFont="1" applyFill="1" applyBorder="1" applyAlignment="1" applyProtection="1">
      <alignment horizontal="right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10" fillId="2" borderId="0" xfId="0" applyFont="1" applyFill="1"/>
    <xf numFmtId="0" fontId="0" fillId="2" borderId="3" xfId="0" applyFill="1" applyBorder="1" applyProtection="1"/>
    <xf numFmtId="0" fontId="0" fillId="2" borderId="0" xfId="0" applyFont="1" applyFill="1" applyBorder="1" applyProtection="1"/>
    <xf numFmtId="10" fontId="0" fillId="2" borderId="0" xfId="0" applyNumberFormat="1" applyFont="1" applyFill="1" applyBorder="1" applyProtection="1"/>
    <xf numFmtId="44" fontId="4" fillId="2" borderId="0" xfId="0" applyNumberFormat="1" applyFont="1" applyFill="1" applyProtection="1"/>
    <xf numFmtId="44" fontId="4" fillId="2" borderId="0" xfId="1" applyFont="1" applyFill="1" applyProtection="1"/>
    <xf numFmtId="44" fontId="2" fillId="2" borderId="0" xfId="1" applyFont="1" applyFill="1" applyProtection="1"/>
    <xf numFmtId="0" fontId="11" fillId="2" borderId="9" xfId="0" applyFont="1" applyFill="1" applyBorder="1" applyProtection="1"/>
    <xf numFmtId="0" fontId="11" fillId="2" borderId="0" xfId="0" applyFont="1" applyFill="1" applyBorder="1" applyProtection="1"/>
    <xf numFmtId="0" fontId="3" fillId="3" borderId="7" xfId="0" applyFont="1" applyFill="1" applyBorder="1" applyProtection="1"/>
    <xf numFmtId="0" fontId="3" fillId="3" borderId="8" xfId="0" applyFont="1" applyFill="1" applyBorder="1" applyProtection="1"/>
    <xf numFmtId="0" fontId="5" fillId="2" borderId="10" xfId="0" applyFont="1" applyFill="1" applyBorder="1" applyProtection="1"/>
    <xf numFmtId="0" fontId="3" fillId="3" borderId="4" xfId="0" applyFont="1" applyFill="1" applyBorder="1" applyProtection="1"/>
    <xf numFmtId="0" fontId="0" fillId="5" borderId="12" xfId="2" applyNumberFormat="1" applyFont="1" applyFill="1" applyBorder="1" applyAlignment="1" applyProtection="1">
      <alignment horizontal="center"/>
    </xf>
    <xf numFmtId="0" fontId="0" fillId="2" borderId="2" xfId="2" applyNumberFormat="1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Protection="1"/>
    <xf numFmtId="0" fontId="5" fillId="2" borderId="7" xfId="0" applyFont="1" applyFill="1" applyBorder="1" applyProtection="1"/>
    <xf numFmtId="44" fontId="5" fillId="2" borderId="4" xfId="1" applyFont="1" applyFill="1" applyBorder="1" applyProtection="1"/>
    <xf numFmtId="44" fontId="5" fillId="2" borderId="5" xfId="0" applyNumberFormat="1" applyFont="1" applyFill="1" applyBorder="1" applyProtection="1"/>
    <xf numFmtId="44" fontId="5" fillId="2" borderId="6" xfId="0" applyNumberFormat="1" applyFont="1" applyFill="1" applyBorder="1" applyProtection="1"/>
    <xf numFmtId="10" fontId="5" fillId="0" borderId="12" xfId="0" applyNumberFormat="1" applyFont="1" applyBorder="1" applyAlignment="1">
      <alignment horizontal="left"/>
    </xf>
    <xf numFmtId="44" fontId="5" fillId="2" borderId="10" xfId="0" applyNumberFormat="1" applyFont="1" applyFill="1" applyBorder="1" applyProtection="1"/>
    <xf numFmtId="44" fontId="5" fillId="2" borderId="12" xfId="0" applyNumberFormat="1" applyFont="1" applyFill="1" applyBorder="1" applyProtection="1"/>
    <xf numFmtId="9" fontId="0" fillId="2" borderId="1" xfId="2" applyFont="1" applyFill="1" applyBorder="1" applyAlignment="1" applyProtection="1">
      <alignment horizontal="center"/>
      <protection locked="0"/>
    </xf>
    <xf numFmtId="44" fontId="11" fillId="2" borderId="4" xfId="1" applyFont="1" applyFill="1" applyBorder="1" applyProtection="1"/>
    <xf numFmtId="44" fontId="11" fillId="2" borderId="5" xfId="1" applyFont="1" applyFill="1" applyBorder="1" applyProtection="1"/>
    <xf numFmtId="0" fontId="11" fillId="2" borderId="11" xfId="0" applyFont="1" applyFill="1" applyBorder="1" applyProtection="1"/>
    <xf numFmtId="44" fontId="11" fillId="2" borderId="6" xfId="1" applyFont="1" applyFill="1" applyBorder="1" applyProtection="1"/>
    <xf numFmtId="0" fontId="11" fillId="2" borderId="7" xfId="0" applyFont="1" applyFill="1" applyBorder="1" applyProtection="1"/>
    <xf numFmtId="0" fontId="3" fillId="3" borderId="9" xfId="0" applyFont="1" applyFill="1" applyBorder="1" applyProtection="1"/>
    <xf numFmtId="0" fontId="3" fillId="3" borderId="10" xfId="0" applyFont="1" applyFill="1" applyBorder="1" applyProtection="1"/>
    <xf numFmtId="0" fontId="3" fillId="3" borderId="5" xfId="0" applyFont="1" applyFill="1" applyBorder="1" applyProtection="1"/>
    <xf numFmtId="0" fontId="11" fillId="2" borderId="8" xfId="0" applyFont="1" applyFill="1" applyBorder="1" applyProtection="1"/>
    <xf numFmtId="0" fontId="11" fillId="2" borderId="10" xfId="0" applyFont="1" applyFill="1" applyBorder="1" applyProtection="1"/>
    <xf numFmtId="0" fontId="6" fillId="2" borderId="10" xfId="0" applyFont="1" applyFill="1" applyBorder="1" applyProtection="1"/>
    <xf numFmtId="0" fontId="6" fillId="2" borderId="12" xfId="0" applyFont="1" applyFill="1" applyBorder="1" applyProtection="1"/>
    <xf numFmtId="0" fontId="4" fillId="3" borderId="0" xfId="0" applyFont="1" applyFill="1"/>
    <xf numFmtId="0" fontId="5" fillId="3" borderId="0" xfId="0" applyFont="1" applyFill="1"/>
    <xf numFmtId="0" fontId="2" fillId="4" borderId="0" xfId="0" applyFont="1" applyFill="1"/>
    <xf numFmtId="0" fontId="12" fillId="3" borderId="0" xfId="0" applyFont="1" applyFill="1"/>
    <xf numFmtId="0" fontId="3" fillId="4" borderId="0" xfId="0" applyFont="1" applyFill="1"/>
    <xf numFmtId="44" fontId="3" fillId="3" borderId="0" xfId="1" applyFont="1" applyFill="1"/>
    <xf numFmtId="44" fontId="2" fillId="4" borderId="0" xfId="1" applyFont="1" applyFill="1"/>
    <xf numFmtId="44" fontId="7" fillId="4" borderId="0" xfId="1" applyFont="1" applyFill="1"/>
    <xf numFmtId="44" fontId="3" fillId="3" borderId="0" xfId="1" applyFont="1" applyFill="1" applyAlignment="1">
      <alignment horizontal="right"/>
    </xf>
    <xf numFmtId="0" fontId="4" fillId="2" borderId="0" xfId="0" applyFont="1" applyFill="1" applyAlignment="1" applyProtection="1">
      <alignment horizontal="center"/>
    </xf>
    <xf numFmtId="44" fontId="11" fillId="2" borderId="10" xfId="1" applyFont="1" applyFill="1" applyBorder="1" applyProtection="1"/>
    <xf numFmtId="10" fontId="5" fillId="2" borderId="10" xfId="0" applyNumberFormat="1" applyFont="1" applyFill="1" applyBorder="1" applyProtection="1"/>
    <xf numFmtId="44" fontId="17" fillId="4" borderId="1" xfId="0" applyNumberFormat="1" applyFont="1" applyFill="1" applyBorder="1" applyAlignment="1" applyProtection="1">
      <alignment vertical="center" wrapText="1"/>
    </xf>
    <xf numFmtId="44" fontId="17" fillId="4" borderId="1" xfId="0" applyNumberFormat="1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Protection="1"/>
    <xf numFmtId="0" fontId="4" fillId="4" borderId="13" xfId="0" applyFont="1" applyFill="1" applyBorder="1" applyProtection="1"/>
    <xf numFmtId="0" fontId="14" fillId="4" borderId="8" xfId="0" applyFont="1" applyFill="1" applyBorder="1" applyProtection="1"/>
    <xf numFmtId="0" fontId="2" fillId="4" borderId="13" xfId="0" applyFont="1" applyFill="1" applyBorder="1" applyProtection="1"/>
    <xf numFmtId="0" fontId="2" fillId="4" borderId="8" xfId="0" applyFont="1" applyFill="1" applyBorder="1" applyProtection="1"/>
    <xf numFmtId="0" fontId="4" fillId="4" borderId="8" xfId="0" applyFont="1" applyFill="1" applyBorder="1" applyProtection="1"/>
    <xf numFmtId="0" fontId="3" fillId="3" borderId="11" xfId="0" applyFont="1" applyFill="1" applyBorder="1" applyProtection="1"/>
    <xf numFmtId="0" fontId="3" fillId="3" borderId="14" xfId="0" applyFont="1" applyFill="1" applyBorder="1" applyProtection="1"/>
    <xf numFmtId="10" fontId="8" fillId="3" borderId="12" xfId="0" applyNumberFormat="1" applyFont="1" applyFill="1" applyBorder="1" applyProtection="1"/>
    <xf numFmtId="164" fontId="8" fillId="3" borderId="12" xfId="0" applyNumberFormat="1" applyFont="1" applyFill="1" applyBorder="1" applyProtection="1"/>
    <xf numFmtId="0" fontId="3" fillId="2" borderId="0" xfId="0" applyFont="1" applyFill="1" applyAlignment="1">
      <alignment horizontal="left"/>
    </xf>
    <xf numFmtId="0" fontId="19" fillId="0" borderId="0" xfId="3" applyAlignment="1">
      <alignment horizontal="right"/>
    </xf>
    <xf numFmtId="0" fontId="19" fillId="3" borderId="0" xfId="3" applyFill="1" applyAlignment="1">
      <alignment horizontal="right"/>
    </xf>
    <xf numFmtId="10" fontId="4" fillId="2" borderId="0" xfId="0" applyNumberFormat="1" applyFont="1" applyFill="1" applyProtection="1"/>
    <xf numFmtId="44" fontId="0" fillId="0" borderId="0" xfId="1" applyFont="1"/>
    <xf numFmtId="0" fontId="21" fillId="2" borderId="1" xfId="0" applyFont="1" applyFill="1" applyBorder="1" applyAlignment="1" applyProtection="1">
      <alignment horizontal="center"/>
      <protection locked="0"/>
    </xf>
    <xf numFmtId="0" fontId="11" fillId="2" borderId="9" xfId="0" applyFont="1" applyFill="1" applyBorder="1"/>
    <xf numFmtId="0" fontId="11" fillId="2" borderId="12" xfId="0" applyFont="1" applyFill="1" applyBorder="1" applyProtection="1"/>
    <xf numFmtId="0" fontId="3" fillId="2" borderId="0" xfId="0" applyFont="1" applyFill="1" applyBorder="1" applyProtection="1"/>
    <xf numFmtId="0" fontId="0" fillId="2" borderId="0" xfId="0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</xf>
    <xf numFmtId="44" fontId="5" fillId="0" borderId="5" xfId="1" applyFont="1" applyBorder="1"/>
    <xf numFmtId="0" fontId="6" fillId="3" borderId="0" xfId="0" applyFont="1" applyFill="1"/>
    <xf numFmtId="164" fontId="0" fillId="3" borderId="0" xfId="0" applyNumberFormat="1" applyFill="1"/>
    <xf numFmtId="0" fontId="6" fillId="4" borderId="0" xfId="0" applyFont="1" applyFill="1"/>
    <xf numFmtId="0" fontId="0" fillId="4" borderId="0" xfId="0" applyFill="1"/>
    <xf numFmtId="44" fontId="7" fillId="3" borderId="0" xfId="1" applyFont="1" applyFill="1"/>
    <xf numFmtId="0" fontId="22" fillId="2" borderId="0" xfId="0" applyFont="1" applyFill="1" applyProtection="1"/>
    <xf numFmtId="0" fontId="4" fillId="2" borderId="0" xfId="0" applyFont="1" applyFill="1" applyAlignment="1" applyProtection="1">
      <alignment horizontal="left"/>
    </xf>
    <xf numFmtId="0" fontId="0" fillId="2" borderId="4" xfId="0" applyFill="1" applyBorder="1" applyAlignment="1" applyProtection="1">
      <alignment horizontal="center"/>
      <protection locked="0"/>
    </xf>
    <xf numFmtId="10" fontId="11" fillId="0" borderId="12" xfId="0" applyNumberFormat="1" applyFont="1" applyBorder="1" applyAlignment="1">
      <alignment horizontal="left"/>
    </xf>
    <xf numFmtId="0" fontId="6" fillId="4" borderId="13" xfId="0" applyFont="1" applyFill="1" applyBorder="1" applyProtection="1"/>
    <xf numFmtId="0" fontId="7" fillId="3" borderId="11" xfId="0" applyFont="1" applyFill="1" applyBorder="1" applyProtection="1"/>
    <xf numFmtId="0" fontId="7" fillId="3" borderId="14" xfId="0" applyFont="1" applyFill="1" applyBorder="1" applyProtection="1"/>
    <xf numFmtId="0" fontId="7" fillId="4" borderId="13" xfId="0" applyFont="1" applyFill="1" applyBorder="1" applyProtection="1"/>
    <xf numFmtId="0" fontId="6" fillId="2" borderId="0" xfId="0" applyFont="1" applyFill="1" applyBorder="1" applyProtection="1"/>
    <xf numFmtId="0" fontId="6" fillId="0" borderId="10" xfId="0" applyFont="1" applyBorder="1"/>
    <xf numFmtId="0" fontId="0" fillId="2" borderId="0" xfId="0" applyFont="1" applyFill="1"/>
    <xf numFmtId="0" fontId="0" fillId="3" borderId="0" xfId="0" applyFill="1" applyBorder="1"/>
    <xf numFmtId="44" fontId="3" fillId="3" borderId="0" xfId="1" applyFont="1" applyFill="1" applyBorder="1"/>
    <xf numFmtId="44" fontId="7" fillId="3" borderId="0" xfId="1" applyFont="1" applyFill="1" applyBorder="1"/>
    <xf numFmtId="0" fontId="5" fillId="3" borderId="0" xfId="0" applyFont="1" applyFill="1" applyBorder="1"/>
    <xf numFmtId="0" fontId="5" fillId="3" borderId="15" xfId="0" applyFont="1" applyFill="1" applyBorder="1"/>
    <xf numFmtId="0" fontId="0" fillId="3" borderId="15" xfId="0" applyFill="1" applyBorder="1"/>
    <xf numFmtId="0" fontId="12" fillId="3" borderId="15" xfId="0" applyFont="1" applyFill="1" applyBorder="1"/>
    <xf numFmtId="44" fontId="3" fillId="3" borderId="15" xfId="1" applyFont="1" applyFill="1" applyBorder="1"/>
    <xf numFmtId="44" fontId="7" fillId="3" borderId="15" xfId="1" applyFont="1" applyFill="1" applyBorder="1"/>
    <xf numFmtId="0" fontId="2" fillId="4" borderId="0" xfId="0" applyFont="1" applyFill="1" applyAlignment="1">
      <alignment horizontal="center"/>
    </xf>
    <xf numFmtId="0" fontId="2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  <protection locked="0"/>
    </xf>
    <xf numFmtId="0" fontId="14" fillId="2" borderId="0" xfId="0" applyFont="1" applyFill="1" applyBorder="1" applyAlignment="1" applyProtection="1">
      <alignment horizontal="center"/>
    </xf>
    <xf numFmtId="0" fontId="4" fillId="4" borderId="0" xfId="0" applyFont="1" applyFill="1" applyBorder="1"/>
    <xf numFmtId="44" fontId="2" fillId="4" borderId="0" xfId="1" applyFont="1" applyFill="1" applyBorder="1"/>
    <xf numFmtId="0" fontId="2" fillId="4" borderId="0" xfId="0" applyFont="1" applyFill="1" applyBorder="1"/>
    <xf numFmtId="0" fontId="21" fillId="3" borderId="0" xfId="0" applyFont="1" applyFill="1"/>
    <xf numFmtId="0" fontId="0" fillId="2" borderId="3" xfId="0" applyFill="1" applyBorder="1" applyAlignment="1" applyProtection="1">
      <alignment horizontal="center"/>
      <protection locked="0"/>
    </xf>
    <xf numFmtId="44" fontId="5" fillId="2" borderId="8" xfId="1" applyFont="1" applyFill="1" applyBorder="1" applyProtection="1"/>
    <xf numFmtId="0" fontId="5" fillId="2" borderId="8" xfId="0" applyFont="1" applyFill="1" applyBorder="1" applyProtection="1"/>
    <xf numFmtId="0" fontId="0" fillId="2" borderId="10" xfId="0" applyFill="1" applyBorder="1" applyProtection="1"/>
    <xf numFmtId="0" fontId="5" fillId="2" borderId="12" xfId="0" applyFont="1" applyFill="1" applyBorder="1" applyProtection="1"/>
    <xf numFmtId="0" fontId="9" fillId="2" borderId="0" xfId="0" applyFont="1" applyFill="1"/>
    <xf numFmtId="17" fontId="23" fillId="2" borderId="0" xfId="0" applyNumberFormat="1" applyFont="1" applyFill="1"/>
    <xf numFmtId="44" fontId="0" fillId="2" borderId="1" xfId="1" applyFont="1" applyFill="1" applyBorder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Protection="1">
      <protection locked="0"/>
    </xf>
    <xf numFmtId="165" fontId="0" fillId="2" borderId="1" xfId="1" applyNumberFormat="1" applyFont="1" applyFill="1" applyBorder="1" applyAlignment="1" applyProtection="1">
      <alignment vertical="center"/>
      <protection locked="0"/>
    </xf>
    <xf numFmtId="44" fontId="18" fillId="3" borderId="4" xfId="1" applyFont="1" applyFill="1" applyBorder="1" applyAlignment="1" applyProtection="1">
      <alignment horizontal="center" vertical="center"/>
    </xf>
    <xf numFmtId="44" fontId="18" fillId="3" borderId="5" xfId="1" applyFont="1" applyFill="1" applyBorder="1" applyAlignment="1" applyProtection="1">
      <alignment horizontal="center" vertical="center"/>
    </xf>
    <xf numFmtId="0" fontId="2" fillId="4" borderId="11" xfId="0" applyFont="1" applyFill="1" applyBorder="1" applyAlignment="1" applyProtection="1">
      <alignment horizontal="center"/>
    </xf>
    <xf numFmtId="0" fontId="2" fillId="4" borderId="12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 vertical="top" wrapText="1"/>
      <protection locked="0"/>
    </xf>
    <xf numFmtId="0" fontId="9" fillId="2" borderId="3" xfId="0" applyFont="1" applyFill="1" applyBorder="1" applyAlignment="1" applyProtection="1">
      <alignment horizontal="center" vertical="top" wrapText="1"/>
      <protection locked="0"/>
    </xf>
    <xf numFmtId="0" fontId="15" fillId="2" borderId="14" xfId="0" applyFont="1" applyFill="1" applyBorder="1" applyAlignment="1" applyProtection="1">
      <alignment horizontal="right"/>
    </xf>
    <xf numFmtId="0" fontId="15" fillId="2" borderId="0" xfId="0" applyFont="1" applyFill="1" applyBorder="1" applyAlignment="1" applyProtection="1">
      <alignment horizontal="right"/>
    </xf>
    <xf numFmtId="0" fontId="16" fillId="4" borderId="2" xfId="0" applyFont="1" applyFill="1" applyBorder="1" applyAlignment="1" applyProtection="1">
      <alignment horizontal="center" vertical="center"/>
    </xf>
    <xf numFmtId="0" fontId="16" fillId="4" borderId="3" xfId="0" applyFont="1" applyFill="1" applyBorder="1" applyAlignment="1" applyProtection="1">
      <alignment horizontal="center" vertical="center"/>
    </xf>
    <xf numFmtId="0" fontId="18" fillId="3" borderId="7" xfId="0" applyFont="1" applyFill="1" applyBorder="1" applyAlignment="1" applyProtection="1">
      <alignment horizontal="center" vertical="center"/>
    </xf>
    <xf numFmtId="0" fontId="18" fillId="3" borderId="13" xfId="0" applyFont="1" applyFill="1" applyBorder="1" applyAlignment="1" applyProtection="1">
      <alignment horizontal="center" vertical="center"/>
    </xf>
    <xf numFmtId="0" fontId="18" fillId="3" borderId="9" xfId="0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/>
    </xf>
    <xf numFmtId="0" fontId="2" fillId="4" borderId="3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>
      <alignment horizontal="left" vertical="top" wrapText="1"/>
    </xf>
    <xf numFmtId="0" fontId="3" fillId="5" borderId="6" xfId="0" applyFont="1" applyFill="1" applyBorder="1" applyAlignment="1" applyProtection="1">
      <alignment horizontal="left" vertical="top" wrapText="1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left" vertical="top" wrapText="1"/>
    </xf>
    <xf numFmtId="0" fontId="20" fillId="3" borderId="0" xfId="0" applyFont="1" applyFill="1" applyAlignment="1">
      <alignment horizontal="center" vertical="center" wrapText="1"/>
    </xf>
    <xf numFmtId="44" fontId="18" fillId="3" borderId="4" xfId="1" applyFont="1" applyFill="1" applyBorder="1" applyAlignment="1" applyProtection="1">
      <alignment vertical="center"/>
    </xf>
    <xf numFmtId="44" fontId="18" fillId="3" borderId="5" xfId="1" applyFont="1" applyFill="1" applyBorder="1" applyAlignment="1" applyProtection="1">
      <alignment vertical="center"/>
    </xf>
    <xf numFmtId="0" fontId="9" fillId="2" borderId="7" xfId="0" applyFont="1" applyFill="1" applyBorder="1" applyAlignment="1" applyProtection="1">
      <alignment horizontal="center" vertical="top" wrapText="1"/>
      <protection locked="0"/>
    </xf>
    <xf numFmtId="0" fontId="9" fillId="2" borderId="8" xfId="0" applyFont="1" applyFill="1" applyBorder="1" applyAlignment="1" applyProtection="1">
      <alignment horizontal="center" vertical="top" wrapText="1"/>
      <protection locked="0"/>
    </xf>
    <xf numFmtId="0" fontId="9" fillId="2" borderId="9" xfId="0" applyFont="1" applyFill="1" applyBorder="1" applyAlignment="1" applyProtection="1">
      <alignment horizontal="center" vertical="top" wrapText="1"/>
      <protection locked="0"/>
    </xf>
    <xf numFmtId="0" fontId="9" fillId="2" borderId="10" xfId="0" applyFont="1" applyFill="1" applyBorder="1" applyAlignment="1" applyProtection="1">
      <alignment horizontal="center" vertical="top" wrapText="1"/>
      <protection locked="0"/>
    </xf>
    <xf numFmtId="0" fontId="9" fillId="2" borderId="11" xfId="0" applyFont="1" applyFill="1" applyBorder="1" applyAlignment="1" applyProtection="1">
      <alignment horizontal="center" vertical="top" wrapText="1"/>
      <protection locked="0"/>
    </xf>
    <xf numFmtId="0" fontId="9" fillId="2" borderId="12" xfId="0" applyFont="1" applyFill="1" applyBorder="1" applyAlignment="1" applyProtection="1">
      <alignment horizontal="center" vertical="top" wrapText="1"/>
      <protection locked="0"/>
    </xf>
    <xf numFmtId="44" fontId="11" fillId="2" borderId="0" xfId="1" applyFont="1" applyFill="1" applyBorder="1" applyProtection="1"/>
    <xf numFmtId="0" fontId="18" fillId="3" borderId="8" xfId="0" applyFont="1" applyFill="1" applyBorder="1" applyAlignment="1" applyProtection="1">
      <alignment horizontal="center" vertical="center"/>
    </xf>
    <xf numFmtId="0" fontId="18" fillId="3" borderId="10" xfId="0" applyFont="1" applyFill="1" applyBorder="1" applyAlignment="1" applyProtection="1">
      <alignment horizontal="center" vertical="center"/>
    </xf>
    <xf numFmtId="0" fontId="7" fillId="3" borderId="7" xfId="0" applyFont="1" applyFill="1" applyBorder="1" applyProtection="1"/>
    <xf numFmtId="0" fontId="7" fillId="3" borderId="8" xfId="0" applyFont="1" applyFill="1" applyBorder="1" applyProtection="1"/>
  </cellXfs>
  <cellStyles count="4">
    <cellStyle name="Hipervínculo" xfId="3" builtinId="8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3.jpeg"/><Relationship Id="rId7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17.jpeg"/><Relationship Id="rId5" Type="http://schemas.openxmlformats.org/officeDocument/2006/relationships/image" Target="../media/image16.jpeg"/><Relationship Id="rId4" Type="http://schemas.openxmlformats.org/officeDocument/2006/relationships/hyperlink" Target="#'Profesores Secundaria'!A1"/><Relationship Id="rId9" Type="http://schemas.openxmlformats.org/officeDocument/2006/relationships/image" Target="../media/image7.pn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jpeg"/><Relationship Id="rId7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../media/image16.jpeg"/><Relationship Id="rId4" Type="http://schemas.openxmlformats.org/officeDocument/2006/relationships/hyperlink" Target="#'Profesores Secundaria'!A1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image" Target="../media/image3.jpeg"/><Relationship Id="rId7" Type="http://schemas.openxmlformats.org/officeDocument/2006/relationships/image" Target="../media/image19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18.jpeg"/><Relationship Id="rId5" Type="http://schemas.openxmlformats.org/officeDocument/2006/relationships/image" Target="../media/image16.jpeg"/><Relationship Id="rId10" Type="http://schemas.openxmlformats.org/officeDocument/2006/relationships/image" Target="../media/image7.png"/><Relationship Id="rId4" Type="http://schemas.openxmlformats.org/officeDocument/2006/relationships/hyperlink" Target="#'Profesores Secundaria'!A1"/><Relationship Id="rId9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3.jpeg"/><Relationship Id="rId7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18.jpeg"/><Relationship Id="rId5" Type="http://schemas.openxmlformats.org/officeDocument/2006/relationships/image" Target="../media/image16.jpeg"/><Relationship Id="rId4" Type="http://schemas.openxmlformats.org/officeDocument/2006/relationships/hyperlink" Target="#'Profesores Secundaria'!A1"/><Relationship Id="rId9" Type="http://schemas.openxmlformats.org/officeDocument/2006/relationships/image" Target="../media/image7.png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3.jpeg"/><Relationship Id="rId7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20.jpeg"/><Relationship Id="rId5" Type="http://schemas.openxmlformats.org/officeDocument/2006/relationships/image" Target="../media/image16.jpeg"/><Relationship Id="rId4" Type="http://schemas.openxmlformats.org/officeDocument/2006/relationships/hyperlink" Target="#'Profesores Secundaria'!A1"/><Relationship Id="rId9" Type="http://schemas.openxmlformats.org/officeDocument/2006/relationships/image" Target="../media/image7.png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jpeg"/><Relationship Id="rId13" Type="http://schemas.openxmlformats.org/officeDocument/2006/relationships/hyperlink" Target="#'Especialistas Sec. Singulares'!A1"/><Relationship Id="rId18" Type="http://schemas.openxmlformats.org/officeDocument/2006/relationships/image" Target="../media/image22.jpeg"/><Relationship Id="rId26" Type="http://schemas.openxmlformats.org/officeDocument/2006/relationships/hyperlink" Target="#'Profesores EA'!A1"/><Relationship Id="rId3" Type="http://schemas.openxmlformats.org/officeDocument/2006/relationships/hyperlink" Target="#Maestros!A1"/><Relationship Id="rId21" Type="http://schemas.openxmlformats.org/officeDocument/2006/relationships/image" Target="../media/image10.jpeg"/><Relationship Id="rId7" Type="http://schemas.openxmlformats.org/officeDocument/2006/relationships/hyperlink" Target="#'Catedr&#225;ticos Secundaria'!A1"/><Relationship Id="rId12" Type="http://schemas.openxmlformats.org/officeDocument/2006/relationships/image" Target="../media/image11.jpeg"/><Relationship Id="rId17" Type="http://schemas.openxmlformats.org/officeDocument/2006/relationships/hyperlink" Target="#Inspectores!A1"/><Relationship Id="rId25" Type="http://schemas.openxmlformats.org/officeDocument/2006/relationships/image" Target="../media/image12.jpeg"/><Relationship Id="rId2" Type="http://schemas.openxmlformats.org/officeDocument/2006/relationships/image" Target="../media/image21.jpeg"/><Relationship Id="rId16" Type="http://schemas.openxmlformats.org/officeDocument/2006/relationships/image" Target="../media/image15.jpeg"/><Relationship Id="rId20" Type="http://schemas.openxmlformats.org/officeDocument/2006/relationships/hyperlink" Target="#'Profesores Conservatorios'!A1"/><Relationship Id="rId29" Type="http://schemas.openxmlformats.org/officeDocument/2006/relationships/hyperlink" Target="#'Orientaci&#243;n Educativa'!A1"/><Relationship Id="rId1" Type="http://schemas.openxmlformats.org/officeDocument/2006/relationships/hyperlink" Target="#Datos!A1"/><Relationship Id="rId6" Type="http://schemas.openxmlformats.org/officeDocument/2006/relationships/image" Target="../media/image18.jpeg"/><Relationship Id="rId11" Type="http://schemas.openxmlformats.org/officeDocument/2006/relationships/hyperlink" Target="#'Catedr&#225;ticos Conservatorios'!A1"/><Relationship Id="rId24" Type="http://schemas.openxmlformats.org/officeDocument/2006/relationships/hyperlink" Target="#'Profesores EOI'!A1"/><Relationship Id="rId32" Type="http://schemas.openxmlformats.org/officeDocument/2006/relationships/image" Target="../media/image25.png"/><Relationship Id="rId5" Type="http://schemas.openxmlformats.org/officeDocument/2006/relationships/hyperlink" Target="#PTFP!A1"/><Relationship Id="rId15" Type="http://schemas.openxmlformats.org/officeDocument/2006/relationships/hyperlink" Target="#'Catedr&#225;ticos EOI'!A1"/><Relationship Id="rId23" Type="http://schemas.openxmlformats.org/officeDocument/2006/relationships/image" Target="../media/image8.jpeg"/><Relationship Id="rId28" Type="http://schemas.openxmlformats.org/officeDocument/2006/relationships/image" Target="../media/image24.jpeg"/><Relationship Id="rId10" Type="http://schemas.openxmlformats.org/officeDocument/2006/relationships/image" Target="../media/image16.jpeg"/><Relationship Id="rId19" Type="http://schemas.openxmlformats.org/officeDocument/2006/relationships/image" Target="../media/image23.jpeg"/><Relationship Id="rId31" Type="http://schemas.openxmlformats.org/officeDocument/2006/relationships/image" Target="../media/image4.png"/><Relationship Id="rId4" Type="http://schemas.openxmlformats.org/officeDocument/2006/relationships/image" Target="../media/image14.jpeg"/><Relationship Id="rId9" Type="http://schemas.openxmlformats.org/officeDocument/2006/relationships/hyperlink" Target="#'Profesores Secundaria'!A1"/><Relationship Id="rId14" Type="http://schemas.openxmlformats.org/officeDocument/2006/relationships/image" Target="../media/image19.jpeg"/><Relationship Id="rId22" Type="http://schemas.openxmlformats.org/officeDocument/2006/relationships/hyperlink" Target="#'Catedr&#225;ticos EA'!A1"/><Relationship Id="rId27" Type="http://schemas.openxmlformats.org/officeDocument/2006/relationships/image" Target="../media/image9.jpeg"/><Relationship Id="rId30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8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jpeg"/><Relationship Id="rId7" Type="http://schemas.openxmlformats.org/officeDocument/2006/relationships/image" Target="../media/image9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hyperlink" Target="#'Profesores EA'!A1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10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1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12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3.jpe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2.jpeg"/><Relationship Id="rId7" Type="http://schemas.openxmlformats.org/officeDocument/2006/relationships/image" Target="../media/image5.png"/><Relationship Id="rId2" Type="http://schemas.openxmlformats.org/officeDocument/2006/relationships/image" Target="../media/image1.png"/><Relationship Id="rId1" Type="http://schemas.openxmlformats.org/officeDocument/2006/relationships/image" Target="../media/image3.jpeg"/><Relationship Id="rId6" Type="http://schemas.openxmlformats.org/officeDocument/2006/relationships/image" Target="../media/image4.png"/><Relationship Id="rId5" Type="http://schemas.openxmlformats.org/officeDocument/2006/relationships/image" Target="../media/image14.jpeg"/><Relationship Id="rId4" Type="http://schemas.openxmlformats.org/officeDocument/2006/relationships/hyperlink" Target="#Maestros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15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950383</xdr:colOff>
      <xdr:row>0</xdr:row>
      <xdr:rowOff>150080</xdr:rowOff>
    </xdr:from>
    <xdr:ext cx="10903803" cy="718466"/>
    <xdr:sp macro="" textlink="">
      <xdr:nvSpPr>
        <xdr:cNvPr id="2" name="Rectángulo 1"/>
        <xdr:cNvSpPr/>
      </xdr:nvSpPr>
      <xdr:spPr>
        <a:xfrm>
          <a:off x="988483" y="150080"/>
          <a:ext cx="10903803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4000" b="1" cap="none" spc="0">
              <a:ln/>
              <a:solidFill>
                <a:srgbClr val="FF0000"/>
              </a:solidFill>
              <a:effectLst/>
            </a:rPr>
            <a:t>Nómina de Orientadores/as</a:t>
          </a:r>
        </a:p>
      </xdr:txBody>
    </xdr:sp>
    <xdr:clientData/>
  </xdr:oneCellAnchor>
  <xdr:twoCellAnchor editAs="oneCell">
    <xdr:from>
      <xdr:col>1</xdr:col>
      <xdr:colOff>142874</xdr:colOff>
      <xdr:row>71</xdr:row>
      <xdr:rowOff>28282</xdr:rowOff>
    </xdr:from>
    <xdr:to>
      <xdr:col>2</xdr:col>
      <xdr:colOff>1747837</xdr:colOff>
      <xdr:row>74</xdr:row>
      <xdr:rowOff>180334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229" r="47169" b="23818"/>
        <a:stretch/>
      </xdr:blipFill>
      <xdr:spPr>
        <a:xfrm>
          <a:off x="180974" y="15125407"/>
          <a:ext cx="5595938" cy="694977"/>
        </a:xfrm>
        <a:prstGeom prst="rect">
          <a:avLst/>
        </a:prstGeom>
      </xdr:spPr>
    </xdr:pic>
    <xdr:clientData/>
  </xdr:twoCellAnchor>
  <xdr:twoCellAnchor editAs="oneCell">
    <xdr:from>
      <xdr:col>10</xdr:col>
      <xdr:colOff>1904999</xdr:colOff>
      <xdr:row>5</xdr:row>
      <xdr:rowOff>52144</xdr:rowOff>
    </xdr:from>
    <xdr:to>
      <xdr:col>10</xdr:col>
      <xdr:colOff>2895599</xdr:colOff>
      <xdr:row>8</xdr:row>
      <xdr:rowOff>170135</xdr:rowOff>
    </xdr:to>
    <xdr:pic>
      <xdr:nvPicPr>
        <xdr:cNvPr id="4" name="Imagen 3" descr="Unión Europea, Brexi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2062" y="2752482"/>
          <a:ext cx="990600" cy="66091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1</xdr:col>
      <xdr:colOff>4763</xdr:colOff>
      <xdr:row>0</xdr:row>
      <xdr:rowOff>1390651</xdr:rowOff>
    </xdr:from>
    <xdr:to>
      <xdr:col>1</xdr:col>
      <xdr:colOff>1053262</xdr:colOff>
      <xdr:row>2</xdr:row>
      <xdr:rowOff>434209</xdr:rowOff>
    </xdr:to>
    <xdr:pic>
      <xdr:nvPicPr>
        <xdr:cNvPr id="5" name="Imagen 4" descr="Teclado, Escribe, Computador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299" b="-1026"/>
        <a:stretch/>
      </xdr:blipFill>
      <xdr:spPr bwMode="auto">
        <a:xfrm>
          <a:off x="42863" y="1390651"/>
          <a:ext cx="1048499" cy="79139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1</xdr:col>
      <xdr:colOff>59796</xdr:colOff>
      <xdr:row>0</xdr:row>
      <xdr:rowOff>207230</xdr:rowOff>
    </xdr:from>
    <xdr:to>
      <xdr:col>1</xdr:col>
      <xdr:colOff>2131779</xdr:colOff>
      <xdr:row>0</xdr:row>
      <xdr:rowOff>1181378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896" y="207230"/>
          <a:ext cx="2071983" cy="974148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3143250</xdr:colOff>
      <xdr:row>1</xdr:row>
      <xdr:rowOff>14287</xdr:rowOff>
    </xdr:from>
    <xdr:to>
      <xdr:col>1</xdr:col>
      <xdr:colOff>3395662</xdr:colOff>
      <xdr:row>2</xdr:row>
      <xdr:rowOff>23811</xdr:rowOff>
    </xdr:to>
    <xdr:pic>
      <xdr:nvPicPr>
        <xdr:cNvPr id="8" name="Imagen 7" descr="Casa, Comenzar, Página De Inicio, Icon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1519237"/>
          <a:ext cx="252412" cy="252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690562</xdr:colOff>
      <xdr:row>0</xdr:row>
      <xdr:rowOff>338138</xdr:rowOff>
    </xdr:from>
    <xdr:to>
      <xdr:col>12</xdr:col>
      <xdr:colOff>695820</xdr:colOff>
      <xdr:row>0</xdr:row>
      <xdr:rowOff>1185862</xdr:rowOff>
    </xdr:to>
    <xdr:pic>
      <xdr:nvPicPr>
        <xdr:cNvPr id="9" name="Imagen 8" descr="Estudiante, Mecanografía, Teclado, Texto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0375" y="338138"/>
          <a:ext cx="1272083" cy="847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95249</xdr:colOff>
      <xdr:row>33</xdr:row>
      <xdr:rowOff>176212</xdr:rowOff>
    </xdr:from>
    <xdr:to>
      <xdr:col>12</xdr:col>
      <xdr:colOff>452436</xdr:colOff>
      <xdr:row>35</xdr:row>
      <xdr:rowOff>161924</xdr:rowOff>
    </xdr:to>
    <xdr:pic>
      <xdr:nvPicPr>
        <xdr:cNvPr id="10" name="Imagen 9" descr="Agencia Tributaria - Aplicaciones en Google Play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1887" y="8048625"/>
          <a:ext cx="357187" cy="357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907520</xdr:colOff>
      <xdr:row>0</xdr:row>
      <xdr:rowOff>197705</xdr:rowOff>
    </xdr:from>
    <xdr:ext cx="10903803" cy="718466"/>
    <xdr:sp macro="" textlink="">
      <xdr:nvSpPr>
        <xdr:cNvPr id="2" name="Rectángulo 1"/>
        <xdr:cNvSpPr/>
      </xdr:nvSpPr>
      <xdr:spPr>
        <a:xfrm>
          <a:off x="945620" y="197705"/>
          <a:ext cx="10903803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4000" b="1" cap="none" spc="0">
              <a:ln/>
              <a:solidFill>
                <a:srgbClr val="FF0000"/>
              </a:solidFill>
              <a:effectLst/>
            </a:rPr>
            <a:t>Nómina de Catedráticos de Secundaria</a:t>
          </a:r>
        </a:p>
      </xdr:txBody>
    </xdr:sp>
    <xdr:clientData/>
  </xdr:oneCellAnchor>
  <xdr:twoCellAnchor editAs="oneCell">
    <xdr:from>
      <xdr:col>1</xdr:col>
      <xdr:colOff>142874</xdr:colOff>
      <xdr:row>71</xdr:row>
      <xdr:rowOff>28282</xdr:rowOff>
    </xdr:from>
    <xdr:to>
      <xdr:col>2</xdr:col>
      <xdr:colOff>1747837</xdr:colOff>
      <xdr:row>74</xdr:row>
      <xdr:rowOff>180334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229" r="47169" b="23818"/>
        <a:stretch/>
      </xdr:blipFill>
      <xdr:spPr>
        <a:xfrm>
          <a:off x="180974" y="15125407"/>
          <a:ext cx="5595938" cy="694977"/>
        </a:xfrm>
        <a:prstGeom prst="rect">
          <a:avLst/>
        </a:prstGeom>
      </xdr:spPr>
    </xdr:pic>
    <xdr:clientData/>
  </xdr:twoCellAnchor>
  <xdr:twoCellAnchor editAs="oneCell">
    <xdr:from>
      <xdr:col>10</xdr:col>
      <xdr:colOff>1904999</xdr:colOff>
      <xdr:row>5</xdr:row>
      <xdr:rowOff>52144</xdr:rowOff>
    </xdr:from>
    <xdr:to>
      <xdr:col>10</xdr:col>
      <xdr:colOff>2895599</xdr:colOff>
      <xdr:row>8</xdr:row>
      <xdr:rowOff>170135</xdr:rowOff>
    </xdr:to>
    <xdr:pic>
      <xdr:nvPicPr>
        <xdr:cNvPr id="4" name="Imagen 3" descr="Unión Europea, Brexi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2062" y="2752482"/>
          <a:ext cx="990600" cy="66091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1</xdr:col>
      <xdr:colOff>4763</xdr:colOff>
      <xdr:row>0</xdr:row>
      <xdr:rowOff>1390651</xdr:rowOff>
    </xdr:from>
    <xdr:to>
      <xdr:col>1</xdr:col>
      <xdr:colOff>1053262</xdr:colOff>
      <xdr:row>2</xdr:row>
      <xdr:rowOff>434209</xdr:rowOff>
    </xdr:to>
    <xdr:pic>
      <xdr:nvPicPr>
        <xdr:cNvPr id="5" name="Imagen 4" descr="Teclado, Escribe, Computador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299" b="-1026"/>
        <a:stretch/>
      </xdr:blipFill>
      <xdr:spPr bwMode="auto">
        <a:xfrm>
          <a:off x="42863" y="1390651"/>
          <a:ext cx="1048499" cy="79139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11</xdr:col>
      <xdr:colOff>795338</xdr:colOff>
      <xdr:row>0</xdr:row>
      <xdr:rowOff>357187</xdr:rowOff>
    </xdr:from>
    <xdr:to>
      <xdr:col>12</xdr:col>
      <xdr:colOff>714837</xdr:colOff>
      <xdr:row>0</xdr:row>
      <xdr:rowOff>1147761</xdr:rowOff>
    </xdr:to>
    <xdr:pic>
      <xdr:nvPicPr>
        <xdr:cNvPr id="6" name="Imagen 5" descr="Profesor, Profesor De Química, Químico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5151" y="357187"/>
          <a:ext cx="1186324" cy="790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771525</xdr:colOff>
      <xdr:row>0</xdr:row>
      <xdr:rowOff>328612</xdr:rowOff>
    </xdr:from>
    <xdr:to>
      <xdr:col>12</xdr:col>
      <xdr:colOff>726759</xdr:colOff>
      <xdr:row>0</xdr:row>
      <xdr:rowOff>1143000</xdr:rowOff>
    </xdr:to>
    <xdr:pic>
      <xdr:nvPicPr>
        <xdr:cNvPr id="7" name="Imagen 6" descr="Tablero, Escuela, Universidad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1338" y="328612"/>
          <a:ext cx="1222059" cy="8143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42862</xdr:colOff>
      <xdr:row>0</xdr:row>
      <xdr:rowOff>214313</xdr:rowOff>
    </xdr:from>
    <xdr:to>
      <xdr:col>1</xdr:col>
      <xdr:colOff>2114845</xdr:colOff>
      <xdr:row>0</xdr:row>
      <xdr:rowOff>1188461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" y="214313"/>
          <a:ext cx="2071983" cy="974148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3143250</xdr:colOff>
      <xdr:row>1</xdr:row>
      <xdr:rowOff>38100</xdr:rowOff>
    </xdr:from>
    <xdr:to>
      <xdr:col>1</xdr:col>
      <xdr:colOff>3395662</xdr:colOff>
      <xdr:row>2</xdr:row>
      <xdr:rowOff>47624</xdr:rowOff>
    </xdr:to>
    <xdr:pic>
      <xdr:nvPicPr>
        <xdr:cNvPr id="9" name="Imagen 8" descr="Casa, Comenzar, Página De Inicio, Icono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1543050"/>
          <a:ext cx="252412" cy="252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109538</xdr:colOff>
      <xdr:row>34</xdr:row>
      <xdr:rowOff>0</xdr:rowOff>
    </xdr:from>
    <xdr:to>
      <xdr:col>12</xdr:col>
      <xdr:colOff>466725</xdr:colOff>
      <xdr:row>35</xdr:row>
      <xdr:rowOff>171449</xdr:rowOff>
    </xdr:to>
    <xdr:pic>
      <xdr:nvPicPr>
        <xdr:cNvPr id="10" name="Imagen 9" descr="Agencia Tributaria - Aplicaciones en Google Play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6176" y="8067675"/>
          <a:ext cx="357187" cy="357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950383</xdr:colOff>
      <xdr:row>0</xdr:row>
      <xdr:rowOff>150080</xdr:rowOff>
    </xdr:from>
    <xdr:ext cx="10903803" cy="718466"/>
    <xdr:sp macro="" textlink="">
      <xdr:nvSpPr>
        <xdr:cNvPr id="3" name="Rectángulo 2"/>
        <xdr:cNvSpPr/>
      </xdr:nvSpPr>
      <xdr:spPr>
        <a:xfrm>
          <a:off x="988483" y="150080"/>
          <a:ext cx="10903803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4000" b="1" cap="none" spc="0">
              <a:ln/>
              <a:solidFill>
                <a:srgbClr val="FF0000"/>
              </a:solidFill>
              <a:effectLst/>
            </a:rPr>
            <a:t>Nómina de Profesores de Secundaria</a:t>
          </a:r>
        </a:p>
      </xdr:txBody>
    </xdr:sp>
    <xdr:clientData/>
  </xdr:oneCellAnchor>
  <xdr:twoCellAnchor editAs="oneCell">
    <xdr:from>
      <xdr:col>1</xdr:col>
      <xdr:colOff>142874</xdr:colOff>
      <xdr:row>71</xdr:row>
      <xdr:rowOff>28282</xdr:rowOff>
    </xdr:from>
    <xdr:to>
      <xdr:col>2</xdr:col>
      <xdr:colOff>1747837</xdr:colOff>
      <xdr:row>75</xdr:row>
      <xdr:rowOff>2749</xdr:rowOff>
    </xdr:to>
    <xdr:pic>
      <xdr:nvPicPr>
        <xdr:cNvPr id="6" name="Imagen 5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229" r="47169" b="23818"/>
        <a:stretch/>
      </xdr:blipFill>
      <xdr:spPr>
        <a:xfrm>
          <a:off x="214312" y="15125407"/>
          <a:ext cx="5595938" cy="694977"/>
        </a:xfrm>
        <a:prstGeom prst="rect">
          <a:avLst/>
        </a:prstGeom>
      </xdr:spPr>
    </xdr:pic>
    <xdr:clientData/>
  </xdr:twoCellAnchor>
  <xdr:twoCellAnchor editAs="oneCell">
    <xdr:from>
      <xdr:col>10</xdr:col>
      <xdr:colOff>1904999</xdr:colOff>
      <xdr:row>5</xdr:row>
      <xdr:rowOff>52144</xdr:rowOff>
    </xdr:from>
    <xdr:to>
      <xdr:col>10</xdr:col>
      <xdr:colOff>2895599</xdr:colOff>
      <xdr:row>8</xdr:row>
      <xdr:rowOff>170135</xdr:rowOff>
    </xdr:to>
    <xdr:pic>
      <xdr:nvPicPr>
        <xdr:cNvPr id="9" name="Imagen 8" descr="Unión Europea, Brexi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2062" y="2752482"/>
          <a:ext cx="990600" cy="66091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1</xdr:col>
      <xdr:colOff>4763</xdr:colOff>
      <xdr:row>0</xdr:row>
      <xdr:rowOff>1390651</xdr:rowOff>
    </xdr:from>
    <xdr:to>
      <xdr:col>1</xdr:col>
      <xdr:colOff>1053262</xdr:colOff>
      <xdr:row>2</xdr:row>
      <xdr:rowOff>434209</xdr:rowOff>
    </xdr:to>
    <xdr:pic>
      <xdr:nvPicPr>
        <xdr:cNvPr id="11" name="Imagen 10" descr="Teclado, Escribe, Computador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299" b="-1026"/>
        <a:stretch/>
      </xdr:blipFill>
      <xdr:spPr bwMode="auto">
        <a:xfrm>
          <a:off x="76201" y="1390651"/>
          <a:ext cx="1048499" cy="79139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11</xdr:col>
      <xdr:colOff>795338</xdr:colOff>
      <xdr:row>0</xdr:row>
      <xdr:rowOff>357187</xdr:rowOff>
    </xdr:from>
    <xdr:to>
      <xdr:col>12</xdr:col>
      <xdr:colOff>714837</xdr:colOff>
      <xdr:row>0</xdr:row>
      <xdr:rowOff>1147761</xdr:rowOff>
    </xdr:to>
    <xdr:pic>
      <xdr:nvPicPr>
        <xdr:cNvPr id="12" name="Imagen 11" descr="Profesor, Profesor De Química, Químico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5151" y="357187"/>
          <a:ext cx="1186324" cy="790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59796</xdr:colOff>
      <xdr:row>0</xdr:row>
      <xdr:rowOff>207230</xdr:rowOff>
    </xdr:from>
    <xdr:to>
      <xdr:col>1</xdr:col>
      <xdr:colOff>2131779</xdr:colOff>
      <xdr:row>0</xdr:row>
      <xdr:rowOff>1181378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896" y="207230"/>
          <a:ext cx="2071983" cy="974148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3143250</xdr:colOff>
      <xdr:row>1</xdr:row>
      <xdr:rowOff>14287</xdr:rowOff>
    </xdr:from>
    <xdr:to>
      <xdr:col>1</xdr:col>
      <xdr:colOff>3395662</xdr:colOff>
      <xdr:row>2</xdr:row>
      <xdr:rowOff>23811</xdr:rowOff>
    </xdr:to>
    <xdr:pic>
      <xdr:nvPicPr>
        <xdr:cNvPr id="10" name="Imagen 9" descr="Casa, Comenzar, Página De Inicio, Icono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1519237"/>
          <a:ext cx="252412" cy="252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80962</xdr:colOff>
      <xdr:row>33</xdr:row>
      <xdr:rowOff>180975</xdr:rowOff>
    </xdr:from>
    <xdr:to>
      <xdr:col>12</xdr:col>
      <xdr:colOff>438149</xdr:colOff>
      <xdr:row>35</xdr:row>
      <xdr:rowOff>166687</xdr:rowOff>
    </xdr:to>
    <xdr:pic>
      <xdr:nvPicPr>
        <xdr:cNvPr id="13" name="Imagen 12" descr="Agencia Tributaria - Aplicaciones en Google Play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8062913"/>
          <a:ext cx="357187" cy="357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978958</xdr:colOff>
      <xdr:row>0</xdr:row>
      <xdr:rowOff>164367</xdr:rowOff>
    </xdr:from>
    <xdr:ext cx="10903803" cy="530658"/>
    <xdr:sp macro="" textlink="">
      <xdr:nvSpPr>
        <xdr:cNvPr id="3" name="Rectángulo 2"/>
        <xdr:cNvSpPr/>
      </xdr:nvSpPr>
      <xdr:spPr>
        <a:xfrm>
          <a:off x="1017058" y="164367"/>
          <a:ext cx="10903803" cy="530658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2800" b="1" cap="none" spc="0">
              <a:ln/>
              <a:solidFill>
                <a:srgbClr val="FF0000"/>
              </a:solidFill>
              <a:effectLst/>
            </a:rPr>
            <a:t>Nómina de Profesores</a:t>
          </a:r>
          <a:r>
            <a:rPr lang="es-ES" sz="2800" b="1" cap="none" spc="0" baseline="0">
              <a:ln/>
              <a:solidFill>
                <a:srgbClr val="FF0000"/>
              </a:solidFill>
              <a:effectLst/>
            </a:rPr>
            <a:t> Especialistas en Sec. Singulares</a:t>
          </a:r>
          <a:endParaRPr lang="es-ES" sz="2800" b="1" cap="none" spc="0">
            <a:ln/>
            <a:solidFill>
              <a:srgbClr val="FF0000"/>
            </a:solidFill>
            <a:effectLst/>
          </a:endParaRPr>
        </a:p>
      </xdr:txBody>
    </xdr:sp>
    <xdr:clientData/>
  </xdr:oneCellAnchor>
  <xdr:twoCellAnchor editAs="oneCell">
    <xdr:from>
      <xdr:col>1</xdr:col>
      <xdr:colOff>142874</xdr:colOff>
      <xdr:row>71</xdr:row>
      <xdr:rowOff>28282</xdr:rowOff>
    </xdr:from>
    <xdr:to>
      <xdr:col>2</xdr:col>
      <xdr:colOff>1747837</xdr:colOff>
      <xdr:row>74</xdr:row>
      <xdr:rowOff>180334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229" r="47169" b="23818"/>
        <a:stretch/>
      </xdr:blipFill>
      <xdr:spPr>
        <a:xfrm>
          <a:off x="180974" y="15125407"/>
          <a:ext cx="5595938" cy="694977"/>
        </a:xfrm>
        <a:prstGeom prst="rect">
          <a:avLst/>
        </a:prstGeom>
      </xdr:spPr>
    </xdr:pic>
    <xdr:clientData/>
  </xdr:twoCellAnchor>
  <xdr:twoCellAnchor editAs="oneCell">
    <xdr:from>
      <xdr:col>10</xdr:col>
      <xdr:colOff>1904999</xdr:colOff>
      <xdr:row>5</xdr:row>
      <xdr:rowOff>52144</xdr:rowOff>
    </xdr:from>
    <xdr:to>
      <xdr:col>10</xdr:col>
      <xdr:colOff>2895599</xdr:colOff>
      <xdr:row>8</xdr:row>
      <xdr:rowOff>170135</xdr:rowOff>
    </xdr:to>
    <xdr:pic>
      <xdr:nvPicPr>
        <xdr:cNvPr id="5" name="Imagen 4" descr="Unión Europea, Brexi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2062" y="2752482"/>
          <a:ext cx="990600" cy="66091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1</xdr:col>
      <xdr:colOff>4763</xdr:colOff>
      <xdr:row>0</xdr:row>
      <xdr:rowOff>1390651</xdr:rowOff>
    </xdr:from>
    <xdr:to>
      <xdr:col>1</xdr:col>
      <xdr:colOff>1053262</xdr:colOff>
      <xdr:row>2</xdr:row>
      <xdr:rowOff>434209</xdr:rowOff>
    </xdr:to>
    <xdr:pic>
      <xdr:nvPicPr>
        <xdr:cNvPr id="6" name="Imagen 5" descr="Teclado, Escribe, Computador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299" b="-1026"/>
        <a:stretch/>
      </xdr:blipFill>
      <xdr:spPr bwMode="auto">
        <a:xfrm>
          <a:off x="42863" y="1390651"/>
          <a:ext cx="1048499" cy="79139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11</xdr:col>
      <xdr:colOff>795338</xdr:colOff>
      <xdr:row>0</xdr:row>
      <xdr:rowOff>357187</xdr:rowOff>
    </xdr:from>
    <xdr:to>
      <xdr:col>12</xdr:col>
      <xdr:colOff>714837</xdr:colOff>
      <xdr:row>0</xdr:row>
      <xdr:rowOff>1147761</xdr:rowOff>
    </xdr:to>
    <xdr:pic>
      <xdr:nvPicPr>
        <xdr:cNvPr id="7" name="Imagen 6" descr="Profesor, Profesor De Química, Químico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5151" y="357187"/>
          <a:ext cx="1186324" cy="790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762000</xdr:colOff>
      <xdr:row>0</xdr:row>
      <xdr:rowOff>314325</xdr:rowOff>
    </xdr:from>
    <xdr:to>
      <xdr:col>12</xdr:col>
      <xdr:colOff>760112</xdr:colOff>
      <xdr:row>0</xdr:row>
      <xdr:rowOff>1157287</xdr:rowOff>
    </xdr:to>
    <xdr:pic>
      <xdr:nvPicPr>
        <xdr:cNvPr id="8" name="Imagen 7" descr="Pizarron, Puesta En Marcha, Presentación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1813" y="314325"/>
          <a:ext cx="1264937" cy="842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771524</xdr:colOff>
      <xdr:row>0</xdr:row>
      <xdr:rowOff>287417</xdr:rowOff>
    </xdr:from>
    <xdr:to>
      <xdr:col>12</xdr:col>
      <xdr:colOff>819150</xdr:colOff>
      <xdr:row>0</xdr:row>
      <xdr:rowOff>1162349</xdr:rowOff>
    </xdr:to>
    <xdr:pic>
      <xdr:nvPicPr>
        <xdr:cNvPr id="10" name="Imagen 9" descr="Profesor, Mujer, Facultad, Estudiante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1337" y="287417"/>
          <a:ext cx="1314451" cy="8749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100012</xdr:colOff>
      <xdr:row>0</xdr:row>
      <xdr:rowOff>185738</xdr:rowOff>
    </xdr:from>
    <xdr:to>
      <xdr:col>1</xdr:col>
      <xdr:colOff>2171995</xdr:colOff>
      <xdr:row>0</xdr:row>
      <xdr:rowOff>1159886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12" y="185738"/>
          <a:ext cx="2071983" cy="974148"/>
        </a:xfrm>
        <a:prstGeom prst="rect">
          <a:avLst/>
        </a:prstGeom>
      </xdr:spPr>
    </xdr:pic>
    <xdr:clientData/>
  </xdr:twoCellAnchor>
  <xdr:twoCellAnchor editAs="oneCell">
    <xdr:from>
      <xdr:col>1</xdr:col>
      <xdr:colOff>3162300</xdr:colOff>
      <xdr:row>1</xdr:row>
      <xdr:rowOff>38100</xdr:rowOff>
    </xdr:from>
    <xdr:to>
      <xdr:col>1</xdr:col>
      <xdr:colOff>3414712</xdr:colOff>
      <xdr:row>2</xdr:row>
      <xdr:rowOff>47624</xdr:rowOff>
    </xdr:to>
    <xdr:pic>
      <xdr:nvPicPr>
        <xdr:cNvPr id="12" name="Imagen 11" descr="Casa, Comenzar, Página De Inicio, Icono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1543050"/>
          <a:ext cx="252412" cy="252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76200</xdr:colOff>
      <xdr:row>33</xdr:row>
      <xdr:rowOff>157162</xdr:rowOff>
    </xdr:from>
    <xdr:to>
      <xdr:col>12</xdr:col>
      <xdr:colOff>433387</xdr:colOff>
      <xdr:row>35</xdr:row>
      <xdr:rowOff>142874</xdr:rowOff>
    </xdr:to>
    <xdr:pic>
      <xdr:nvPicPr>
        <xdr:cNvPr id="13" name="Imagen 12" descr="Agencia Tributaria - Aplicaciones en Google Play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2838" y="8039100"/>
          <a:ext cx="357187" cy="357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831321</xdr:colOff>
      <xdr:row>0</xdr:row>
      <xdr:rowOff>197705</xdr:rowOff>
    </xdr:from>
    <xdr:ext cx="10903803" cy="718466"/>
    <xdr:sp macro="" textlink="">
      <xdr:nvSpPr>
        <xdr:cNvPr id="3" name="Rectángulo 2"/>
        <xdr:cNvSpPr/>
      </xdr:nvSpPr>
      <xdr:spPr>
        <a:xfrm>
          <a:off x="869421" y="197705"/>
          <a:ext cx="10903803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4000" b="1" cap="none" spc="0">
              <a:ln/>
              <a:solidFill>
                <a:srgbClr val="FF0000"/>
              </a:solidFill>
              <a:effectLst/>
            </a:rPr>
            <a:t>Nómina de Profesores</a:t>
          </a:r>
          <a:r>
            <a:rPr lang="es-ES" sz="4000" b="1" cap="none" spc="0" baseline="0">
              <a:ln/>
              <a:solidFill>
                <a:srgbClr val="FF0000"/>
              </a:solidFill>
              <a:effectLst/>
            </a:rPr>
            <a:t> Técnicos de FP</a:t>
          </a:r>
          <a:endParaRPr lang="es-ES" sz="4000" b="1" cap="none" spc="0">
            <a:ln/>
            <a:solidFill>
              <a:srgbClr val="FF0000"/>
            </a:solidFill>
            <a:effectLst/>
          </a:endParaRPr>
        </a:p>
      </xdr:txBody>
    </xdr:sp>
    <xdr:clientData/>
  </xdr:oneCellAnchor>
  <xdr:twoCellAnchor editAs="oneCell">
    <xdr:from>
      <xdr:col>1</xdr:col>
      <xdr:colOff>142874</xdr:colOff>
      <xdr:row>71</xdr:row>
      <xdr:rowOff>28282</xdr:rowOff>
    </xdr:from>
    <xdr:to>
      <xdr:col>2</xdr:col>
      <xdr:colOff>1747837</xdr:colOff>
      <xdr:row>74</xdr:row>
      <xdr:rowOff>180334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229" r="47169" b="23818"/>
        <a:stretch/>
      </xdr:blipFill>
      <xdr:spPr>
        <a:xfrm>
          <a:off x="180974" y="15125407"/>
          <a:ext cx="5595938" cy="694977"/>
        </a:xfrm>
        <a:prstGeom prst="rect">
          <a:avLst/>
        </a:prstGeom>
      </xdr:spPr>
    </xdr:pic>
    <xdr:clientData/>
  </xdr:twoCellAnchor>
  <xdr:twoCellAnchor editAs="oneCell">
    <xdr:from>
      <xdr:col>10</xdr:col>
      <xdr:colOff>1904999</xdr:colOff>
      <xdr:row>5</xdr:row>
      <xdr:rowOff>52144</xdr:rowOff>
    </xdr:from>
    <xdr:to>
      <xdr:col>10</xdr:col>
      <xdr:colOff>2895599</xdr:colOff>
      <xdr:row>8</xdr:row>
      <xdr:rowOff>170135</xdr:rowOff>
    </xdr:to>
    <xdr:pic>
      <xdr:nvPicPr>
        <xdr:cNvPr id="5" name="Imagen 4" descr="Unión Europea, Brexi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2062" y="2752482"/>
          <a:ext cx="990600" cy="66091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1</xdr:col>
      <xdr:colOff>4763</xdr:colOff>
      <xdr:row>0</xdr:row>
      <xdr:rowOff>1390651</xdr:rowOff>
    </xdr:from>
    <xdr:to>
      <xdr:col>1</xdr:col>
      <xdr:colOff>1053262</xdr:colOff>
      <xdr:row>2</xdr:row>
      <xdr:rowOff>434209</xdr:rowOff>
    </xdr:to>
    <xdr:pic>
      <xdr:nvPicPr>
        <xdr:cNvPr id="6" name="Imagen 5" descr="Teclado, Escribe, Computador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299" b="-1026"/>
        <a:stretch/>
      </xdr:blipFill>
      <xdr:spPr bwMode="auto">
        <a:xfrm>
          <a:off x="42863" y="1390651"/>
          <a:ext cx="1048499" cy="79139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11</xdr:col>
      <xdr:colOff>795338</xdr:colOff>
      <xdr:row>0</xdr:row>
      <xdr:rowOff>357187</xdr:rowOff>
    </xdr:from>
    <xdr:to>
      <xdr:col>12</xdr:col>
      <xdr:colOff>714837</xdr:colOff>
      <xdr:row>0</xdr:row>
      <xdr:rowOff>1147761</xdr:rowOff>
    </xdr:to>
    <xdr:pic>
      <xdr:nvPicPr>
        <xdr:cNvPr id="7" name="Imagen 6" descr="Profesor, Profesor De Química, Químico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5151" y="357187"/>
          <a:ext cx="1186324" cy="790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762000</xdr:colOff>
      <xdr:row>0</xdr:row>
      <xdr:rowOff>314325</xdr:rowOff>
    </xdr:from>
    <xdr:to>
      <xdr:col>12</xdr:col>
      <xdr:colOff>760112</xdr:colOff>
      <xdr:row>0</xdr:row>
      <xdr:rowOff>1157287</xdr:rowOff>
    </xdr:to>
    <xdr:pic>
      <xdr:nvPicPr>
        <xdr:cNvPr id="8" name="Imagen 7" descr="Pizarron, Puesta En Marcha, Presentación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1813" y="314325"/>
          <a:ext cx="1264937" cy="842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45508</xdr:colOff>
      <xdr:row>0</xdr:row>
      <xdr:rowOff>269142</xdr:rowOff>
    </xdr:from>
    <xdr:to>
      <xdr:col>1</xdr:col>
      <xdr:colOff>2117491</xdr:colOff>
      <xdr:row>0</xdr:row>
      <xdr:rowOff>1243290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608" y="269142"/>
          <a:ext cx="2071983" cy="974148"/>
        </a:xfrm>
        <a:prstGeom prst="rect">
          <a:avLst/>
        </a:prstGeom>
      </xdr:spPr>
    </xdr:pic>
    <xdr:clientData/>
  </xdr:twoCellAnchor>
  <xdr:twoCellAnchor editAs="oneCell">
    <xdr:from>
      <xdr:col>1</xdr:col>
      <xdr:colOff>3164945</xdr:colOff>
      <xdr:row>1</xdr:row>
      <xdr:rowOff>26254</xdr:rowOff>
    </xdr:from>
    <xdr:to>
      <xdr:col>1</xdr:col>
      <xdr:colOff>3417357</xdr:colOff>
      <xdr:row>2</xdr:row>
      <xdr:rowOff>35778</xdr:rowOff>
    </xdr:to>
    <xdr:pic>
      <xdr:nvPicPr>
        <xdr:cNvPr id="10" name="Imagen 9" descr="Casa, Comenzar, Página De Inicio, Icono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3045" y="1531204"/>
          <a:ext cx="252412" cy="252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133350</xdr:colOff>
      <xdr:row>34</xdr:row>
      <xdr:rowOff>0</xdr:rowOff>
    </xdr:from>
    <xdr:to>
      <xdr:col>12</xdr:col>
      <xdr:colOff>490537</xdr:colOff>
      <xdr:row>35</xdr:row>
      <xdr:rowOff>171449</xdr:rowOff>
    </xdr:to>
    <xdr:pic>
      <xdr:nvPicPr>
        <xdr:cNvPr id="11" name="Imagen 10" descr="Agencia Tributaria - Aplicaciones en Google Play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9988" y="8067675"/>
          <a:ext cx="357187" cy="357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907521</xdr:colOff>
      <xdr:row>0</xdr:row>
      <xdr:rowOff>197706</xdr:rowOff>
    </xdr:from>
    <xdr:ext cx="10903803" cy="1344599"/>
    <xdr:sp macro="" textlink="">
      <xdr:nvSpPr>
        <xdr:cNvPr id="3" name="Rectángulo 2"/>
        <xdr:cNvSpPr/>
      </xdr:nvSpPr>
      <xdr:spPr>
        <a:xfrm>
          <a:off x="945621" y="197706"/>
          <a:ext cx="10903803" cy="134459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4000" b="1" cap="none" spc="0">
              <a:ln/>
              <a:solidFill>
                <a:srgbClr val="FF0000"/>
              </a:solidFill>
              <a:effectLst/>
            </a:rPr>
            <a:t>Nómina de Inspectores/as de Educación</a:t>
          </a:r>
        </a:p>
        <a:p>
          <a:pPr algn="ctr"/>
          <a:endParaRPr lang="es-ES" sz="4000" b="1" cap="none" spc="0">
            <a:ln/>
            <a:solidFill>
              <a:srgbClr val="FF0000"/>
            </a:solidFill>
            <a:effectLst/>
          </a:endParaRPr>
        </a:p>
      </xdr:txBody>
    </xdr:sp>
    <xdr:clientData/>
  </xdr:oneCellAnchor>
  <xdr:twoCellAnchor editAs="oneCell">
    <xdr:from>
      <xdr:col>1</xdr:col>
      <xdr:colOff>142874</xdr:colOff>
      <xdr:row>70</xdr:row>
      <xdr:rowOff>28282</xdr:rowOff>
    </xdr:from>
    <xdr:to>
      <xdr:col>2</xdr:col>
      <xdr:colOff>1747837</xdr:colOff>
      <xdr:row>74</xdr:row>
      <xdr:rowOff>132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229" r="47169" b="23818"/>
        <a:stretch/>
      </xdr:blipFill>
      <xdr:spPr>
        <a:xfrm>
          <a:off x="180974" y="15125407"/>
          <a:ext cx="5595938" cy="694977"/>
        </a:xfrm>
        <a:prstGeom prst="rect">
          <a:avLst/>
        </a:prstGeom>
      </xdr:spPr>
    </xdr:pic>
    <xdr:clientData/>
  </xdr:twoCellAnchor>
  <xdr:twoCellAnchor editAs="oneCell">
    <xdr:from>
      <xdr:col>10</xdr:col>
      <xdr:colOff>1904999</xdr:colOff>
      <xdr:row>5</xdr:row>
      <xdr:rowOff>52144</xdr:rowOff>
    </xdr:from>
    <xdr:to>
      <xdr:col>10</xdr:col>
      <xdr:colOff>2895599</xdr:colOff>
      <xdr:row>8</xdr:row>
      <xdr:rowOff>170135</xdr:rowOff>
    </xdr:to>
    <xdr:pic>
      <xdr:nvPicPr>
        <xdr:cNvPr id="5" name="Imagen 4" descr="Unión Europea, Brexi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2062" y="2752482"/>
          <a:ext cx="990600" cy="66091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1</xdr:col>
      <xdr:colOff>4763</xdr:colOff>
      <xdr:row>0</xdr:row>
      <xdr:rowOff>1390651</xdr:rowOff>
    </xdr:from>
    <xdr:to>
      <xdr:col>1</xdr:col>
      <xdr:colOff>1053262</xdr:colOff>
      <xdr:row>2</xdr:row>
      <xdr:rowOff>434209</xdr:rowOff>
    </xdr:to>
    <xdr:pic>
      <xdr:nvPicPr>
        <xdr:cNvPr id="6" name="Imagen 5" descr="Teclado, Escribe, Computador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299" b="-1026"/>
        <a:stretch/>
      </xdr:blipFill>
      <xdr:spPr bwMode="auto">
        <a:xfrm>
          <a:off x="42863" y="1390651"/>
          <a:ext cx="1048499" cy="79139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11</xdr:col>
      <xdr:colOff>795338</xdr:colOff>
      <xdr:row>0</xdr:row>
      <xdr:rowOff>357187</xdr:rowOff>
    </xdr:from>
    <xdr:to>
      <xdr:col>12</xdr:col>
      <xdr:colOff>714835</xdr:colOff>
      <xdr:row>0</xdr:row>
      <xdr:rowOff>1147761</xdr:rowOff>
    </xdr:to>
    <xdr:pic>
      <xdr:nvPicPr>
        <xdr:cNvPr id="7" name="Imagen 6" descr="Profesor, Profesor De Química, Químico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5151" y="357187"/>
          <a:ext cx="1186324" cy="790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726985</xdr:colOff>
      <xdr:row>0</xdr:row>
      <xdr:rowOff>343706</xdr:rowOff>
    </xdr:from>
    <xdr:to>
      <xdr:col>12</xdr:col>
      <xdr:colOff>745327</xdr:colOff>
      <xdr:row>0</xdr:row>
      <xdr:rowOff>1200151</xdr:rowOff>
    </xdr:to>
    <xdr:pic>
      <xdr:nvPicPr>
        <xdr:cNvPr id="9" name="Imagen 8" descr="Consultoría, Edp, Empresario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6798" y="343706"/>
          <a:ext cx="1285169" cy="856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4763</xdr:colOff>
      <xdr:row>0</xdr:row>
      <xdr:rowOff>214313</xdr:rowOff>
    </xdr:from>
    <xdr:to>
      <xdr:col>1</xdr:col>
      <xdr:colOff>2076746</xdr:colOff>
      <xdr:row>0</xdr:row>
      <xdr:rowOff>1188461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3" y="214313"/>
          <a:ext cx="2071983" cy="974148"/>
        </a:xfrm>
        <a:prstGeom prst="rect">
          <a:avLst/>
        </a:prstGeom>
      </xdr:spPr>
    </xdr:pic>
    <xdr:clientData/>
  </xdr:twoCellAnchor>
  <xdr:twoCellAnchor editAs="oneCell">
    <xdr:from>
      <xdr:col>1</xdr:col>
      <xdr:colOff>3148012</xdr:colOff>
      <xdr:row>1</xdr:row>
      <xdr:rowOff>52388</xdr:rowOff>
    </xdr:from>
    <xdr:to>
      <xdr:col>1</xdr:col>
      <xdr:colOff>3400424</xdr:colOff>
      <xdr:row>2</xdr:row>
      <xdr:rowOff>61912</xdr:rowOff>
    </xdr:to>
    <xdr:pic>
      <xdr:nvPicPr>
        <xdr:cNvPr id="11" name="Imagen 10" descr="Casa, Comenzar, Página De Inicio, Icono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6112" y="1557338"/>
          <a:ext cx="252412" cy="252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80962</xdr:colOff>
      <xdr:row>32</xdr:row>
      <xdr:rowOff>161925</xdr:rowOff>
    </xdr:from>
    <xdr:to>
      <xdr:col>12</xdr:col>
      <xdr:colOff>438149</xdr:colOff>
      <xdr:row>34</xdr:row>
      <xdr:rowOff>147637</xdr:rowOff>
    </xdr:to>
    <xdr:pic>
      <xdr:nvPicPr>
        <xdr:cNvPr id="12" name="Imagen 11" descr="Agencia Tributaria - Aplicaciones en Google Play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9512" y="6176963"/>
          <a:ext cx="357187" cy="357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595311</xdr:colOff>
      <xdr:row>1</xdr:row>
      <xdr:rowOff>9248</xdr:rowOff>
    </xdr:from>
    <xdr:ext cx="10539413" cy="718466"/>
    <xdr:sp macro="" textlink="">
      <xdr:nvSpPr>
        <xdr:cNvPr id="3" name="Rectángulo 2"/>
        <xdr:cNvSpPr/>
      </xdr:nvSpPr>
      <xdr:spPr>
        <a:xfrm>
          <a:off x="976311" y="190223"/>
          <a:ext cx="10539413" cy="718466"/>
        </a:xfrm>
        <a:prstGeom prst="rect">
          <a:avLst/>
        </a:prstGeom>
        <a:solidFill>
          <a:sysClr val="window" lastClr="FFFFFF"/>
        </a:solidFill>
      </xdr:spPr>
      <xdr:txBody>
        <a:bodyPr wrap="squar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4000" b="1" cap="none" spc="0">
              <a:ln/>
              <a:solidFill>
                <a:srgbClr val="FF0000"/>
              </a:solidFill>
              <a:effectLst/>
            </a:rPr>
            <a:t>Calculadora</a:t>
          </a:r>
          <a:r>
            <a:rPr lang="es-ES" sz="4000" b="1" cap="none" spc="0" baseline="0">
              <a:ln/>
              <a:solidFill>
                <a:srgbClr val="FF0000"/>
              </a:solidFill>
              <a:effectLst/>
            </a:rPr>
            <a:t> de nóminas 2024</a:t>
          </a:r>
          <a:endParaRPr lang="es-ES" sz="4000" b="1" cap="none" spc="0">
            <a:ln/>
            <a:solidFill>
              <a:srgbClr val="FF0000"/>
            </a:solidFill>
            <a:effectLst/>
          </a:endParaRPr>
        </a:p>
      </xdr:txBody>
    </xdr:sp>
    <xdr:clientData/>
  </xdr:oneCellAnchor>
  <xdr:twoCellAnchor editAs="oneCell">
    <xdr:from>
      <xdr:col>1</xdr:col>
      <xdr:colOff>38100</xdr:colOff>
      <xdr:row>10</xdr:row>
      <xdr:rowOff>120096</xdr:rowOff>
    </xdr:from>
    <xdr:to>
      <xdr:col>2</xdr:col>
      <xdr:colOff>490538</xdr:colOff>
      <xdr:row>15</xdr:row>
      <xdr:rowOff>33680</xdr:rowOff>
    </xdr:to>
    <xdr:pic>
      <xdr:nvPicPr>
        <xdr:cNvPr id="4" name="Imagen 3" descr="Monedas, Divisa, Inversión, Segur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929846"/>
          <a:ext cx="1214438" cy="818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36429</xdr:colOff>
      <xdr:row>16</xdr:row>
      <xdr:rowOff>81462</xdr:rowOff>
    </xdr:from>
    <xdr:to>
      <xdr:col>6</xdr:col>
      <xdr:colOff>471489</xdr:colOff>
      <xdr:row>20</xdr:row>
      <xdr:rowOff>157161</xdr:rowOff>
    </xdr:to>
    <xdr:pic>
      <xdr:nvPicPr>
        <xdr:cNvPr id="5" name="Imagen 4" descr="Profesor, Propiedad, Planta, Y Enseñanza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5429" y="2977062"/>
          <a:ext cx="1197060" cy="799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33337</xdr:colOff>
      <xdr:row>10</xdr:row>
      <xdr:rowOff>23813</xdr:rowOff>
    </xdr:from>
    <xdr:to>
      <xdr:col>14</xdr:col>
      <xdr:colOff>536274</xdr:colOff>
      <xdr:row>14</xdr:row>
      <xdr:rowOff>142875</xdr:rowOff>
    </xdr:to>
    <xdr:pic>
      <xdr:nvPicPr>
        <xdr:cNvPr id="6" name="Imagen 5" descr="Pizarron, Puesta En Marcha, Presentación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8337" y="1833563"/>
          <a:ext cx="1264937" cy="842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47626</xdr:colOff>
      <xdr:row>10</xdr:row>
      <xdr:rowOff>90488</xdr:rowOff>
    </xdr:from>
    <xdr:to>
      <xdr:col>6</xdr:col>
      <xdr:colOff>507685</xdr:colOff>
      <xdr:row>15</xdr:row>
      <xdr:rowOff>1</xdr:rowOff>
    </xdr:to>
    <xdr:pic>
      <xdr:nvPicPr>
        <xdr:cNvPr id="7" name="Imagen 6" descr="Tablero, Escuela, Universidad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6" y="1900238"/>
          <a:ext cx="1222059" cy="8143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57150</xdr:colOff>
      <xdr:row>10</xdr:row>
      <xdr:rowOff>85725</xdr:rowOff>
    </xdr:from>
    <xdr:to>
      <xdr:col>10</xdr:col>
      <xdr:colOff>481474</xdr:colOff>
      <xdr:row>14</xdr:row>
      <xdr:rowOff>152399</xdr:rowOff>
    </xdr:to>
    <xdr:pic>
      <xdr:nvPicPr>
        <xdr:cNvPr id="8" name="Imagen 7" descr="Profesor, Profesor De Química, Químico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1895475"/>
          <a:ext cx="1186324" cy="790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52388</xdr:colOff>
      <xdr:row>22</xdr:row>
      <xdr:rowOff>33695</xdr:rowOff>
    </xdr:from>
    <xdr:to>
      <xdr:col>2</xdr:col>
      <xdr:colOff>547642</xdr:colOff>
      <xdr:row>26</xdr:row>
      <xdr:rowOff>147637</xdr:rowOff>
    </xdr:to>
    <xdr:pic>
      <xdr:nvPicPr>
        <xdr:cNvPr id="9" name="Imagen 8" descr="Niños, Escuela, Educación, Instructor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8" y="4015145"/>
          <a:ext cx="1257254" cy="8378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33338</xdr:colOff>
      <xdr:row>16</xdr:row>
      <xdr:rowOff>81974</xdr:rowOff>
    </xdr:from>
    <xdr:to>
      <xdr:col>2</xdr:col>
      <xdr:colOff>509589</xdr:colOff>
      <xdr:row>21</xdr:row>
      <xdr:rowOff>1310</xdr:rowOff>
    </xdr:to>
    <xdr:pic>
      <xdr:nvPicPr>
        <xdr:cNvPr id="10" name="Imagen 9" descr="Profesor, Mujer, Facultad, Estudiante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8" y="2977574"/>
          <a:ext cx="1238251" cy="8242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42864</xdr:colOff>
      <xdr:row>16</xdr:row>
      <xdr:rowOff>74898</xdr:rowOff>
    </xdr:from>
    <xdr:to>
      <xdr:col>10</xdr:col>
      <xdr:colOff>633414</xdr:colOff>
      <xdr:row>21</xdr:row>
      <xdr:rowOff>25934</xdr:rowOff>
    </xdr:to>
    <xdr:pic>
      <xdr:nvPicPr>
        <xdr:cNvPr id="11" name="Imagen 10" descr="Profesor, Espalda, Demostración, Lección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9864" y="2970498"/>
          <a:ext cx="1352550" cy="8559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42863</xdr:colOff>
      <xdr:row>28</xdr:row>
      <xdr:rowOff>43962</xdr:rowOff>
    </xdr:from>
    <xdr:to>
      <xdr:col>14</xdr:col>
      <xdr:colOff>600075</xdr:colOff>
      <xdr:row>33</xdr:row>
      <xdr:rowOff>18218</xdr:rowOff>
    </xdr:to>
    <xdr:pic>
      <xdr:nvPicPr>
        <xdr:cNvPr id="12" name="Imagen 11" descr="Consultoría, Edp, Empresario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7863" y="4758837"/>
          <a:ext cx="1319212" cy="879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24190</xdr:colOff>
      <xdr:row>28</xdr:row>
      <xdr:rowOff>66675</xdr:rowOff>
    </xdr:from>
    <xdr:to>
      <xdr:col>10</xdr:col>
      <xdr:colOff>655331</xdr:colOff>
      <xdr:row>32</xdr:row>
      <xdr:rowOff>166687</xdr:rowOff>
    </xdr:to>
    <xdr:pic>
      <xdr:nvPicPr>
        <xdr:cNvPr id="14" name="Imagen 13" descr="Hombre, Escribir, Plan, Escritorio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1190" y="4781550"/>
          <a:ext cx="1393141" cy="823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38101</xdr:colOff>
      <xdr:row>22</xdr:row>
      <xdr:rowOff>80963</xdr:rowOff>
    </xdr:from>
    <xdr:to>
      <xdr:col>6</xdr:col>
      <xdr:colOff>523875</xdr:colOff>
      <xdr:row>27</xdr:row>
      <xdr:rowOff>13918</xdr:rowOff>
    </xdr:to>
    <xdr:pic>
      <xdr:nvPicPr>
        <xdr:cNvPr id="15" name="Imagen 14" descr="Ballet, Zapatillas De Ballet, Bailarina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50" r="18258"/>
        <a:stretch/>
      </xdr:blipFill>
      <xdr:spPr bwMode="auto">
        <a:xfrm>
          <a:off x="3467101" y="3709988"/>
          <a:ext cx="1247774" cy="837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30301</xdr:colOff>
      <xdr:row>22</xdr:row>
      <xdr:rowOff>61867</xdr:rowOff>
    </xdr:from>
    <xdr:to>
      <xdr:col>10</xdr:col>
      <xdr:colOff>666750</xdr:colOff>
      <xdr:row>27</xdr:row>
      <xdr:rowOff>11232</xdr:rowOff>
    </xdr:to>
    <xdr:pic>
      <xdr:nvPicPr>
        <xdr:cNvPr id="16" name="Imagen 15" descr="Puesta En Marcha, Negocio, Gente">
          <a:hlinkClick xmlns:r="http://schemas.openxmlformats.org/officeDocument/2006/relationships" r:id="rId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7301" y="3690892"/>
          <a:ext cx="1398449" cy="854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23813</xdr:colOff>
      <xdr:row>16</xdr:row>
      <xdr:rowOff>33338</xdr:rowOff>
    </xdr:from>
    <xdr:to>
      <xdr:col>14</xdr:col>
      <xdr:colOff>571500</xdr:colOff>
      <xdr:row>21</xdr:row>
      <xdr:rowOff>1588</xdr:rowOff>
    </xdr:to>
    <xdr:pic>
      <xdr:nvPicPr>
        <xdr:cNvPr id="17" name="Imagen 16" descr="Desarrollo De Software, Post Invitado">
          <a:hlinkClick xmlns:r="http://schemas.openxmlformats.org/officeDocument/2006/relationships" r:id="rId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8813" y="2576513"/>
          <a:ext cx="1309687" cy="873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19051</xdr:colOff>
      <xdr:row>22</xdr:row>
      <xdr:rowOff>38100</xdr:rowOff>
    </xdr:from>
    <xdr:to>
      <xdr:col>14</xdr:col>
      <xdr:colOff>550575</xdr:colOff>
      <xdr:row>26</xdr:row>
      <xdr:rowOff>176212</xdr:rowOff>
    </xdr:to>
    <xdr:pic>
      <xdr:nvPicPr>
        <xdr:cNvPr id="18" name="Imagen 17" descr="Formación, Seminario, Enseñando, Equipo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4051" y="3667125"/>
          <a:ext cx="1293524" cy="8620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51389</xdr:colOff>
      <xdr:row>28</xdr:row>
      <xdr:rowOff>23813</xdr:rowOff>
    </xdr:from>
    <xdr:to>
      <xdr:col>2</xdr:col>
      <xdr:colOff>582912</xdr:colOff>
      <xdr:row>32</xdr:row>
      <xdr:rowOff>161925</xdr:rowOff>
    </xdr:to>
    <xdr:pic>
      <xdr:nvPicPr>
        <xdr:cNvPr id="19" name="Imagen 18" descr="Salón De Clases, Viejo, Una Habitación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389" y="4738688"/>
          <a:ext cx="1293523" cy="8620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38100</xdr:colOff>
      <xdr:row>28</xdr:row>
      <xdr:rowOff>47627</xdr:rowOff>
    </xdr:from>
    <xdr:to>
      <xdr:col>6</xdr:col>
      <xdr:colOff>548183</xdr:colOff>
      <xdr:row>32</xdr:row>
      <xdr:rowOff>171451</xdr:rowOff>
    </xdr:to>
    <xdr:pic>
      <xdr:nvPicPr>
        <xdr:cNvPr id="20" name="Imagen 19" descr="Estudiante, Mecanografía, Teclado, Texto">
          <a:hlinkClick xmlns:r="http://schemas.openxmlformats.org/officeDocument/2006/relationships" r:id="rId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4762502"/>
          <a:ext cx="1272083" cy="847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</xdr:row>
      <xdr:rowOff>171450</xdr:rowOff>
    </xdr:from>
    <xdr:to>
      <xdr:col>3</xdr:col>
      <xdr:colOff>614658</xdr:colOff>
      <xdr:row>7</xdr:row>
      <xdr:rowOff>59748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352425"/>
          <a:ext cx="2071983" cy="974148"/>
        </a:xfrm>
        <a:prstGeom prst="rect">
          <a:avLst/>
        </a:prstGeom>
      </xdr:spPr>
    </xdr:pic>
    <xdr:clientData/>
  </xdr:twoCellAnchor>
  <xdr:oneCellAnchor>
    <xdr:from>
      <xdr:col>4</xdr:col>
      <xdr:colOff>328143</xdr:colOff>
      <xdr:row>4</xdr:row>
      <xdr:rowOff>171741</xdr:rowOff>
    </xdr:from>
    <xdr:ext cx="8940204" cy="311496"/>
    <xdr:sp macro="" textlink="">
      <xdr:nvSpPr>
        <xdr:cNvPr id="13" name="Rectángulo 12"/>
        <xdr:cNvSpPr/>
      </xdr:nvSpPr>
      <xdr:spPr>
        <a:xfrm>
          <a:off x="2995143" y="895641"/>
          <a:ext cx="8940204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Para comunicar</a:t>
          </a:r>
          <a:r>
            <a:rPr lang="es-ES" sz="1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incidencias y para el s</a:t>
          </a:r>
          <a:r>
            <a:rPr lang="es-E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ervicio</a:t>
          </a:r>
          <a:r>
            <a:rPr lang="es-ES" sz="1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consulta nóminas para afiliados/as, escribe a ensenanza@fespugtclm.es</a:t>
          </a:r>
          <a:endParaRPr lang="es-E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15</xdr:col>
      <xdr:colOff>93796</xdr:colOff>
      <xdr:row>0</xdr:row>
      <xdr:rowOff>80962</xdr:rowOff>
    </xdr:from>
    <xdr:to>
      <xdr:col>16</xdr:col>
      <xdr:colOff>238122</xdr:colOff>
      <xdr:row>4</xdr:row>
      <xdr:rowOff>179836</xdr:rowOff>
    </xdr:to>
    <xdr:pic>
      <xdr:nvPicPr>
        <xdr:cNvPr id="22" name="Imagen 21" descr="Email, Icono, Botón, Web, Internet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2796" y="80962"/>
          <a:ext cx="906326" cy="822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907520</xdr:colOff>
      <xdr:row>0</xdr:row>
      <xdr:rowOff>197705</xdr:rowOff>
    </xdr:from>
    <xdr:ext cx="10903803" cy="1344599"/>
    <xdr:sp macro="" textlink="">
      <xdr:nvSpPr>
        <xdr:cNvPr id="2" name="Rectángulo 1"/>
        <xdr:cNvSpPr/>
      </xdr:nvSpPr>
      <xdr:spPr>
        <a:xfrm>
          <a:off x="945620" y="197705"/>
          <a:ext cx="10903803" cy="134459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4000" b="1" cap="none" spc="0">
              <a:ln/>
              <a:solidFill>
                <a:srgbClr val="FF0000"/>
              </a:solidFill>
              <a:effectLst/>
            </a:rPr>
            <a:t>Nómina de Catedráticos de</a:t>
          </a:r>
        </a:p>
        <a:p>
          <a:pPr algn="ctr"/>
          <a:r>
            <a:rPr lang="es-ES" sz="4000" b="1" cap="none" spc="0">
              <a:ln/>
              <a:solidFill>
                <a:srgbClr val="FF0000"/>
              </a:solidFill>
              <a:effectLst/>
            </a:rPr>
            <a:t>Artes</a:t>
          </a:r>
          <a:r>
            <a:rPr lang="es-ES" sz="4000" b="1" cap="none" spc="0" baseline="0">
              <a:ln/>
              <a:solidFill>
                <a:srgbClr val="FF0000"/>
              </a:solidFill>
              <a:effectLst/>
            </a:rPr>
            <a:t> Plásticas y Diseño</a:t>
          </a:r>
          <a:endParaRPr lang="es-ES" sz="4000" b="1" cap="none" spc="0">
            <a:ln/>
            <a:solidFill>
              <a:srgbClr val="FF0000"/>
            </a:solidFill>
            <a:effectLst/>
          </a:endParaRPr>
        </a:p>
      </xdr:txBody>
    </xdr:sp>
    <xdr:clientData/>
  </xdr:oneCellAnchor>
  <xdr:twoCellAnchor editAs="oneCell">
    <xdr:from>
      <xdr:col>1</xdr:col>
      <xdr:colOff>142874</xdr:colOff>
      <xdr:row>70</xdr:row>
      <xdr:rowOff>28282</xdr:rowOff>
    </xdr:from>
    <xdr:to>
      <xdr:col>2</xdr:col>
      <xdr:colOff>1747837</xdr:colOff>
      <xdr:row>73</xdr:row>
      <xdr:rowOff>180334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229" r="47169" b="23818"/>
        <a:stretch/>
      </xdr:blipFill>
      <xdr:spPr>
        <a:xfrm>
          <a:off x="180974" y="13458532"/>
          <a:ext cx="5595938" cy="694977"/>
        </a:xfrm>
        <a:prstGeom prst="rect">
          <a:avLst/>
        </a:prstGeom>
      </xdr:spPr>
    </xdr:pic>
    <xdr:clientData/>
  </xdr:twoCellAnchor>
  <xdr:twoCellAnchor editAs="oneCell">
    <xdr:from>
      <xdr:col>10</xdr:col>
      <xdr:colOff>1904999</xdr:colOff>
      <xdr:row>5</xdr:row>
      <xdr:rowOff>52144</xdr:rowOff>
    </xdr:from>
    <xdr:to>
      <xdr:col>10</xdr:col>
      <xdr:colOff>2895599</xdr:colOff>
      <xdr:row>8</xdr:row>
      <xdr:rowOff>170135</xdr:rowOff>
    </xdr:to>
    <xdr:pic>
      <xdr:nvPicPr>
        <xdr:cNvPr id="4" name="Imagen 3" descr="Unión Europea, Brexi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2062" y="2752482"/>
          <a:ext cx="990600" cy="66091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1</xdr:col>
      <xdr:colOff>4763</xdr:colOff>
      <xdr:row>0</xdr:row>
      <xdr:rowOff>1390651</xdr:rowOff>
    </xdr:from>
    <xdr:to>
      <xdr:col>1</xdr:col>
      <xdr:colOff>1053262</xdr:colOff>
      <xdr:row>2</xdr:row>
      <xdr:rowOff>434209</xdr:rowOff>
    </xdr:to>
    <xdr:pic>
      <xdr:nvPicPr>
        <xdr:cNvPr id="5" name="Imagen 4" descr="Teclado, Escribe, Computador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299" b="-1026"/>
        <a:stretch/>
      </xdr:blipFill>
      <xdr:spPr bwMode="auto">
        <a:xfrm>
          <a:off x="42863" y="1390651"/>
          <a:ext cx="1048499" cy="79139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1</xdr:col>
      <xdr:colOff>42862</xdr:colOff>
      <xdr:row>0</xdr:row>
      <xdr:rowOff>214313</xdr:rowOff>
    </xdr:from>
    <xdr:to>
      <xdr:col>1</xdr:col>
      <xdr:colOff>2114845</xdr:colOff>
      <xdr:row>0</xdr:row>
      <xdr:rowOff>1188461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" y="214313"/>
          <a:ext cx="2071983" cy="974148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3143250</xdr:colOff>
      <xdr:row>1</xdr:row>
      <xdr:rowOff>38100</xdr:rowOff>
    </xdr:from>
    <xdr:to>
      <xdr:col>1</xdr:col>
      <xdr:colOff>3395662</xdr:colOff>
      <xdr:row>2</xdr:row>
      <xdr:rowOff>47624</xdr:rowOff>
    </xdr:to>
    <xdr:pic>
      <xdr:nvPicPr>
        <xdr:cNvPr id="7" name="Imagen 6" descr="Casa, Comenzar, Página De Inicio, Icon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1543050"/>
          <a:ext cx="252412" cy="252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714375</xdr:colOff>
      <xdr:row>0</xdr:row>
      <xdr:rowOff>290512</xdr:rowOff>
    </xdr:from>
    <xdr:to>
      <xdr:col>12</xdr:col>
      <xdr:colOff>845999</xdr:colOff>
      <xdr:row>0</xdr:row>
      <xdr:rowOff>1144752</xdr:rowOff>
    </xdr:to>
    <xdr:pic>
      <xdr:nvPicPr>
        <xdr:cNvPr id="9" name="Imagen 8" descr="Puesta En Marcha, Negocio, Gente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4188" y="290512"/>
          <a:ext cx="1398449" cy="854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133349</xdr:colOff>
      <xdr:row>32</xdr:row>
      <xdr:rowOff>180975</xdr:rowOff>
    </xdr:from>
    <xdr:to>
      <xdr:col>12</xdr:col>
      <xdr:colOff>490536</xdr:colOff>
      <xdr:row>34</xdr:row>
      <xdr:rowOff>166687</xdr:rowOff>
    </xdr:to>
    <xdr:pic>
      <xdr:nvPicPr>
        <xdr:cNvPr id="10" name="Imagen 9" descr="Agencia Tributaria - Aplicaciones en Google Play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9987" y="6210300"/>
          <a:ext cx="357187" cy="357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950383</xdr:colOff>
      <xdr:row>0</xdr:row>
      <xdr:rowOff>150080</xdr:rowOff>
    </xdr:from>
    <xdr:ext cx="10903803" cy="1970732"/>
    <xdr:sp macro="" textlink="">
      <xdr:nvSpPr>
        <xdr:cNvPr id="2" name="Rectángulo 1"/>
        <xdr:cNvSpPr/>
      </xdr:nvSpPr>
      <xdr:spPr>
        <a:xfrm>
          <a:off x="988483" y="150080"/>
          <a:ext cx="10903803" cy="1970732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4000" b="1" cap="none" spc="0">
              <a:ln/>
              <a:solidFill>
                <a:srgbClr val="FF0000"/>
              </a:solidFill>
              <a:effectLst/>
            </a:rPr>
            <a:t>Nómina de Profesores de </a:t>
          </a:r>
        </a:p>
        <a:p>
          <a:pPr algn="ctr"/>
          <a:r>
            <a:rPr lang="es-ES" sz="4000" b="1" cap="none" spc="0">
              <a:ln/>
              <a:solidFill>
                <a:srgbClr val="FF0000"/>
              </a:solidFill>
              <a:effectLst/>
            </a:rPr>
            <a:t>Artes Plásticas y Diseño</a:t>
          </a:r>
        </a:p>
        <a:p>
          <a:pPr algn="ctr"/>
          <a:endParaRPr lang="es-ES" sz="4000" b="1" cap="none" spc="0">
            <a:ln/>
            <a:solidFill>
              <a:srgbClr val="FF0000"/>
            </a:solidFill>
            <a:effectLst/>
          </a:endParaRPr>
        </a:p>
      </xdr:txBody>
    </xdr:sp>
    <xdr:clientData/>
  </xdr:oneCellAnchor>
  <xdr:twoCellAnchor editAs="oneCell">
    <xdr:from>
      <xdr:col>1</xdr:col>
      <xdr:colOff>142874</xdr:colOff>
      <xdr:row>70</xdr:row>
      <xdr:rowOff>28282</xdr:rowOff>
    </xdr:from>
    <xdr:to>
      <xdr:col>2</xdr:col>
      <xdr:colOff>1747837</xdr:colOff>
      <xdr:row>73</xdr:row>
      <xdr:rowOff>180334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229" r="47169" b="23818"/>
        <a:stretch/>
      </xdr:blipFill>
      <xdr:spPr>
        <a:xfrm>
          <a:off x="180974" y="13453770"/>
          <a:ext cx="5595938" cy="694977"/>
        </a:xfrm>
        <a:prstGeom prst="rect">
          <a:avLst/>
        </a:prstGeom>
      </xdr:spPr>
    </xdr:pic>
    <xdr:clientData/>
  </xdr:twoCellAnchor>
  <xdr:twoCellAnchor editAs="oneCell">
    <xdr:from>
      <xdr:col>10</xdr:col>
      <xdr:colOff>1904999</xdr:colOff>
      <xdr:row>5</xdr:row>
      <xdr:rowOff>52144</xdr:rowOff>
    </xdr:from>
    <xdr:to>
      <xdr:col>10</xdr:col>
      <xdr:colOff>2895599</xdr:colOff>
      <xdr:row>8</xdr:row>
      <xdr:rowOff>170135</xdr:rowOff>
    </xdr:to>
    <xdr:pic>
      <xdr:nvPicPr>
        <xdr:cNvPr id="4" name="Imagen 3" descr="Unión Europea, Brexi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2062" y="2752482"/>
          <a:ext cx="990600" cy="66091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1</xdr:col>
      <xdr:colOff>4763</xdr:colOff>
      <xdr:row>0</xdr:row>
      <xdr:rowOff>1390651</xdr:rowOff>
    </xdr:from>
    <xdr:to>
      <xdr:col>1</xdr:col>
      <xdr:colOff>1053262</xdr:colOff>
      <xdr:row>2</xdr:row>
      <xdr:rowOff>434209</xdr:rowOff>
    </xdr:to>
    <xdr:pic>
      <xdr:nvPicPr>
        <xdr:cNvPr id="5" name="Imagen 4" descr="Teclado, Escribe, Computador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299" b="-1026"/>
        <a:stretch/>
      </xdr:blipFill>
      <xdr:spPr bwMode="auto">
        <a:xfrm>
          <a:off x="42863" y="1390651"/>
          <a:ext cx="1048499" cy="79139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1</xdr:col>
      <xdr:colOff>59796</xdr:colOff>
      <xdr:row>0</xdr:row>
      <xdr:rowOff>207230</xdr:rowOff>
    </xdr:from>
    <xdr:to>
      <xdr:col>1</xdr:col>
      <xdr:colOff>2131779</xdr:colOff>
      <xdr:row>0</xdr:row>
      <xdr:rowOff>1181378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896" y="207230"/>
          <a:ext cx="2071983" cy="974148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3143250</xdr:colOff>
      <xdr:row>1</xdr:row>
      <xdr:rowOff>14287</xdr:rowOff>
    </xdr:from>
    <xdr:to>
      <xdr:col>1</xdr:col>
      <xdr:colOff>3395662</xdr:colOff>
      <xdr:row>2</xdr:row>
      <xdr:rowOff>23811</xdr:rowOff>
    </xdr:to>
    <xdr:pic>
      <xdr:nvPicPr>
        <xdr:cNvPr id="7" name="Imagen 6" descr="Casa, Comenzar, Página De Inicio, Icon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1519237"/>
          <a:ext cx="252412" cy="252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719137</xdr:colOff>
      <xdr:row>0</xdr:row>
      <xdr:rowOff>304800</xdr:rowOff>
    </xdr:from>
    <xdr:to>
      <xdr:col>12</xdr:col>
      <xdr:colOff>745836</xdr:colOff>
      <xdr:row>0</xdr:row>
      <xdr:rowOff>1166812</xdr:rowOff>
    </xdr:to>
    <xdr:pic>
      <xdr:nvPicPr>
        <xdr:cNvPr id="9" name="Imagen 8" descr="Formación, Seminario, Enseñando, Equipo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8950" y="304800"/>
          <a:ext cx="1293524" cy="8620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123825</xdr:colOff>
      <xdr:row>32</xdr:row>
      <xdr:rowOff>180974</xdr:rowOff>
    </xdr:from>
    <xdr:to>
      <xdr:col>12</xdr:col>
      <xdr:colOff>481012</xdr:colOff>
      <xdr:row>34</xdr:row>
      <xdr:rowOff>166686</xdr:rowOff>
    </xdr:to>
    <xdr:pic>
      <xdr:nvPicPr>
        <xdr:cNvPr id="10" name="Imagen 9" descr="Agencia Tributaria - Aplicaciones en Google Play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0463" y="6205537"/>
          <a:ext cx="357187" cy="357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950383</xdr:colOff>
      <xdr:row>0</xdr:row>
      <xdr:rowOff>150080</xdr:rowOff>
    </xdr:from>
    <xdr:ext cx="10903803" cy="1970732"/>
    <xdr:sp macro="" textlink="">
      <xdr:nvSpPr>
        <xdr:cNvPr id="2" name="Rectángulo 1"/>
        <xdr:cNvSpPr/>
      </xdr:nvSpPr>
      <xdr:spPr>
        <a:xfrm>
          <a:off x="988483" y="150080"/>
          <a:ext cx="10903803" cy="1970732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4000" b="1" cap="none" spc="0">
              <a:ln/>
              <a:solidFill>
                <a:srgbClr val="FF0000"/>
              </a:solidFill>
              <a:effectLst/>
            </a:rPr>
            <a:t>Nómina de Profesores de Música</a:t>
          </a:r>
        </a:p>
        <a:p>
          <a:pPr algn="ctr"/>
          <a:r>
            <a:rPr lang="es-ES" sz="4000" b="1" cap="none" spc="0">
              <a:ln/>
              <a:solidFill>
                <a:srgbClr val="FF0000"/>
              </a:solidFill>
              <a:effectLst/>
            </a:rPr>
            <a:t>y</a:t>
          </a:r>
          <a:r>
            <a:rPr lang="es-ES" sz="4000" b="1" cap="none" spc="0" baseline="0">
              <a:ln/>
              <a:solidFill>
                <a:srgbClr val="FF0000"/>
              </a:solidFill>
              <a:effectLst/>
            </a:rPr>
            <a:t> Artes Escénicas</a:t>
          </a:r>
          <a:endParaRPr lang="es-ES" sz="4000" b="1" cap="none" spc="0">
            <a:ln/>
            <a:solidFill>
              <a:srgbClr val="FF0000"/>
            </a:solidFill>
            <a:effectLst/>
          </a:endParaRPr>
        </a:p>
        <a:p>
          <a:pPr algn="ctr"/>
          <a:endParaRPr lang="es-ES" sz="4000" b="1" cap="none" spc="0">
            <a:ln/>
            <a:solidFill>
              <a:srgbClr val="FF0000"/>
            </a:solidFill>
            <a:effectLst/>
          </a:endParaRPr>
        </a:p>
      </xdr:txBody>
    </xdr:sp>
    <xdr:clientData/>
  </xdr:oneCellAnchor>
  <xdr:twoCellAnchor editAs="oneCell">
    <xdr:from>
      <xdr:col>1</xdr:col>
      <xdr:colOff>142874</xdr:colOff>
      <xdr:row>70</xdr:row>
      <xdr:rowOff>28282</xdr:rowOff>
    </xdr:from>
    <xdr:to>
      <xdr:col>2</xdr:col>
      <xdr:colOff>1747837</xdr:colOff>
      <xdr:row>73</xdr:row>
      <xdr:rowOff>180334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229" r="47169" b="23818"/>
        <a:stretch/>
      </xdr:blipFill>
      <xdr:spPr>
        <a:xfrm>
          <a:off x="180974" y="13453770"/>
          <a:ext cx="5595938" cy="694977"/>
        </a:xfrm>
        <a:prstGeom prst="rect">
          <a:avLst/>
        </a:prstGeom>
      </xdr:spPr>
    </xdr:pic>
    <xdr:clientData/>
  </xdr:twoCellAnchor>
  <xdr:twoCellAnchor editAs="oneCell">
    <xdr:from>
      <xdr:col>10</xdr:col>
      <xdr:colOff>1904999</xdr:colOff>
      <xdr:row>5</xdr:row>
      <xdr:rowOff>52144</xdr:rowOff>
    </xdr:from>
    <xdr:to>
      <xdr:col>10</xdr:col>
      <xdr:colOff>2895599</xdr:colOff>
      <xdr:row>8</xdr:row>
      <xdr:rowOff>170135</xdr:rowOff>
    </xdr:to>
    <xdr:pic>
      <xdr:nvPicPr>
        <xdr:cNvPr id="4" name="Imagen 3" descr="Unión Europea, Brexi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2062" y="2752482"/>
          <a:ext cx="990600" cy="66091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1</xdr:col>
      <xdr:colOff>4763</xdr:colOff>
      <xdr:row>0</xdr:row>
      <xdr:rowOff>1390651</xdr:rowOff>
    </xdr:from>
    <xdr:to>
      <xdr:col>1</xdr:col>
      <xdr:colOff>1053262</xdr:colOff>
      <xdr:row>2</xdr:row>
      <xdr:rowOff>434209</xdr:rowOff>
    </xdr:to>
    <xdr:pic>
      <xdr:nvPicPr>
        <xdr:cNvPr id="5" name="Imagen 4" descr="Teclado, Escribe, Computador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299" b="-1026"/>
        <a:stretch/>
      </xdr:blipFill>
      <xdr:spPr bwMode="auto">
        <a:xfrm>
          <a:off x="42863" y="1390651"/>
          <a:ext cx="1048499" cy="79139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1</xdr:col>
      <xdr:colOff>59796</xdr:colOff>
      <xdr:row>0</xdr:row>
      <xdr:rowOff>207230</xdr:rowOff>
    </xdr:from>
    <xdr:to>
      <xdr:col>1</xdr:col>
      <xdr:colOff>2131779</xdr:colOff>
      <xdr:row>0</xdr:row>
      <xdr:rowOff>1181378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896" y="207230"/>
          <a:ext cx="2071983" cy="974148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3143250</xdr:colOff>
      <xdr:row>1</xdr:row>
      <xdr:rowOff>14287</xdr:rowOff>
    </xdr:from>
    <xdr:to>
      <xdr:col>1</xdr:col>
      <xdr:colOff>3395662</xdr:colOff>
      <xdr:row>2</xdr:row>
      <xdr:rowOff>23811</xdr:rowOff>
    </xdr:to>
    <xdr:pic>
      <xdr:nvPicPr>
        <xdr:cNvPr id="7" name="Imagen 6" descr="Casa, Comenzar, Página De Inicio, Icon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1519237"/>
          <a:ext cx="252412" cy="252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795337</xdr:colOff>
      <xdr:row>0</xdr:row>
      <xdr:rowOff>261937</xdr:rowOff>
    </xdr:from>
    <xdr:to>
      <xdr:col>12</xdr:col>
      <xdr:colOff>776286</xdr:colOff>
      <xdr:row>0</xdr:row>
      <xdr:rowOff>1099767</xdr:rowOff>
    </xdr:to>
    <xdr:pic>
      <xdr:nvPicPr>
        <xdr:cNvPr id="9" name="Imagen 8" descr="Ballet, Zapatillas De Ballet, Bailarin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50" r="18258"/>
        <a:stretch/>
      </xdr:blipFill>
      <xdr:spPr bwMode="auto">
        <a:xfrm>
          <a:off x="10725150" y="261937"/>
          <a:ext cx="1247774" cy="837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95250</xdr:colOff>
      <xdr:row>32</xdr:row>
      <xdr:rowOff>180975</xdr:rowOff>
    </xdr:from>
    <xdr:to>
      <xdr:col>12</xdr:col>
      <xdr:colOff>452437</xdr:colOff>
      <xdr:row>34</xdr:row>
      <xdr:rowOff>166687</xdr:rowOff>
    </xdr:to>
    <xdr:pic>
      <xdr:nvPicPr>
        <xdr:cNvPr id="10" name="Imagen 9" descr="Agencia Tributaria - Aplicaciones en Google Play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1888" y="6205538"/>
          <a:ext cx="357187" cy="357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907520</xdr:colOff>
      <xdr:row>0</xdr:row>
      <xdr:rowOff>197705</xdr:rowOff>
    </xdr:from>
    <xdr:ext cx="10903803" cy="1970732"/>
    <xdr:sp macro="" textlink="">
      <xdr:nvSpPr>
        <xdr:cNvPr id="2" name="Rectángulo 1"/>
        <xdr:cNvSpPr/>
      </xdr:nvSpPr>
      <xdr:spPr>
        <a:xfrm>
          <a:off x="945620" y="197705"/>
          <a:ext cx="10903803" cy="1970732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4000" b="1" cap="none" spc="0">
              <a:ln/>
              <a:solidFill>
                <a:srgbClr val="FF0000"/>
              </a:solidFill>
              <a:effectLst/>
            </a:rPr>
            <a:t>Nómina de Catedráticos de Música</a:t>
          </a:r>
        </a:p>
        <a:p>
          <a:pPr algn="ctr"/>
          <a:r>
            <a:rPr lang="es-ES" sz="4000" b="1" cap="none" spc="0">
              <a:ln/>
              <a:solidFill>
                <a:srgbClr val="FF0000"/>
              </a:solidFill>
              <a:effectLst/>
            </a:rPr>
            <a:t>y</a:t>
          </a:r>
          <a:r>
            <a:rPr lang="es-ES" sz="4000" b="1" cap="none" spc="0" baseline="0">
              <a:ln/>
              <a:solidFill>
                <a:srgbClr val="FF0000"/>
              </a:solidFill>
              <a:effectLst/>
            </a:rPr>
            <a:t> Artes Escénicas</a:t>
          </a:r>
          <a:endParaRPr lang="es-ES" sz="4000" b="1" cap="none" spc="0">
            <a:ln/>
            <a:solidFill>
              <a:srgbClr val="FF0000"/>
            </a:solidFill>
            <a:effectLst/>
          </a:endParaRPr>
        </a:p>
        <a:p>
          <a:pPr algn="ctr"/>
          <a:endParaRPr lang="es-ES" sz="4000" b="1" cap="none" spc="0">
            <a:ln/>
            <a:solidFill>
              <a:srgbClr val="FF0000"/>
            </a:solidFill>
            <a:effectLst/>
          </a:endParaRPr>
        </a:p>
      </xdr:txBody>
    </xdr:sp>
    <xdr:clientData/>
  </xdr:oneCellAnchor>
  <xdr:twoCellAnchor editAs="oneCell">
    <xdr:from>
      <xdr:col>1</xdr:col>
      <xdr:colOff>142874</xdr:colOff>
      <xdr:row>70</xdr:row>
      <xdr:rowOff>28282</xdr:rowOff>
    </xdr:from>
    <xdr:to>
      <xdr:col>2</xdr:col>
      <xdr:colOff>1747837</xdr:colOff>
      <xdr:row>73</xdr:row>
      <xdr:rowOff>180334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229" r="47169" b="23818"/>
        <a:stretch/>
      </xdr:blipFill>
      <xdr:spPr>
        <a:xfrm>
          <a:off x="180974" y="13458532"/>
          <a:ext cx="5595938" cy="694977"/>
        </a:xfrm>
        <a:prstGeom prst="rect">
          <a:avLst/>
        </a:prstGeom>
      </xdr:spPr>
    </xdr:pic>
    <xdr:clientData/>
  </xdr:twoCellAnchor>
  <xdr:twoCellAnchor editAs="oneCell">
    <xdr:from>
      <xdr:col>10</xdr:col>
      <xdr:colOff>1904999</xdr:colOff>
      <xdr:row>5</xdr:row>
      <xdr:rowOff>52144</xdr:rowOff>
    </xdr:from>
    <xdr:to>
      <xdr:col>10</xdr:col>
      <xdr:colOff>2895599</xdr:colOff>
      <xdr:row>8</xdr:row>
      <xdr:rowOff>170135</xdr:rowOff>
    </xdr:to>
    <xdr:pic>
      <xdr:nvPicPr>
        <xdr:cNvPr id="4" name="Imagen 3" descr="Unión Europea, Brexi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2062" y="2752482"/>
          <a:ext cx="990600" cy="66091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1</xdr:col>
      <xdr:colOff>4763</xdr:colOff>
      <xdr:row>0</xdr:row>
      <xdr:rowOff>1390651</xdr:rowOff>
    </xdr:from>
    <xdr:to>
      <xdr:col>1</xdr:col>
      <xdr:colOff>1053262</xdr:colOff>
      <xdr:row>2</xdr:row>
      <xdr:rowOff>434209</xdr:rowOff>
    </xdr:to>
    <xdr:pic>
      <xdr:nvPicPr>
        <xdr:cNvPr id="5" name="Imagen 4" descr="Teclado, Escribe, Computador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299" b="-1026"/>
        <a:stretch/>
      </xdr:blipFill>
      <xdr:spPr bwMode="auto">
        <a:xfrm>
          <a:off x="42863" y="1390651"/>
          <a:ext cx="1048499" cy="79139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1</xdr:col>
      <xdr:colOff>42862</xdr:colOff>
      <xdr:row>0</xdr:row>
      <xdr:rowOff>214313</xdr:rowOff>
    </xdr:from>
    <xdr:to>
      <xdr:col>1</xdr:col>
      <xdr:colOff>2114845</xdr:colOff>
      <xdr:row>0</xdr:row>
      <xdr:rowOff>1188461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" y="214313"/>
          <a:ext cx="2071983" cy="974148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3143250</xdr:colOff>
      <xdr:row>1</xdr:row>
      <xdr:rowOff>38100</xdr:rowOff>
    </xdr:from>
    <xdr:to>
      <xdr:col>1</xdr:col>
      <xdr:colOff>3395662</xdr:colOff>
      <xdr:row>2</xdr:row>
      <xdr:rowOff>47624</xdr:rowOff>
    </xdr:to>
    <xdr:pic>
      <xdr:nvPicPr>
        <xdr:cNvPr id="7" name="Imagen 6" descr="Casa, Comenzar, Página De Inicio, Icon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1543050"/>
          <a:ext cx="252412" cy="252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847725</xdr:colOff>
      <xdr:row>0</xdr:row>
      <xdr:rowOff>295275</xdr:rowOff>
    </xdr:from>
    <xdr:to>
      <xdr:col>12</xdr:col>
      <xdr:colOff>838154</xdr:colOff>
      <xdr:row>0</xdr:row>
      <xdr:rowOff>1133117</xdr:rowOff>
    </xdr:to>
    <xdr:pic>
      <xdr:nvPicPr>
        <xdr:cNvPr id="9" name="Imagen 8" descr="Niños, Escuela, Educación, Instructor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77538" y="295275"/>
          <a:ext cx="1257254" cy="8378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123825</xdr:colOff>
      <xdr:row>32</xdr:row>
      <xdr:rowOff>176213</xdr:rowOff>
    </xdr:from>
    <xdr:to>
      <xdr:col>12</xdr:col>
      <xdr:colOff>481012</xdr:colOff>
      <xdr:row>34</xdr:row>
      <xdr:rowOff>161925</xdr:rowOff>
    </xdr:to>
    <xdr:pic>
      <xdr:nvPicPr>
        <xdr:cNvPr id="10" name="Imagen 9" descr="Agencia Tributaria - Aplicaciones en Google Play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0463" y="6205538"/>
          <a:ext cx="357187" cy="357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950383</xdr:colOff>
      <xdr:row>0</xdr:row>
      <xdr:rowOff>150080</xdr:rowOff>
    </xdr:from>
    <xdr:ext cx="10903803" cy="1344599"/>
    <xdr:sp macro="" textlink="">
      <xdr:nvSpPr>
        <xdr:cNvPr id="2" name="Rectángulo 1"/>
        <xdr:cNvSpPr/>
      </xdr:nvSpPr>
      <xdr:spPr>
        <a:xfrm>
          <a:off x="988483" y="150080"/>
          <a:ext cx="10903803" cy="134459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4000" b="1" cap="none" spc="0">
              <a:ln/>
              <a:solidFill>
                <a:srgbClr val="FF0000"/>
              </a:solidFill>
              <a:effectLst/>
            </a:rPr>
            <a:t>Nómina de Profesores de EOI</a:t>
          </a:r>
        </a:p>
        <a:p>
          <a:pPr algn="ctr"/>
          <a:endParaRPr lang="es-ES" sz="4000" b="1" cap="none" spc="0">
            <a:ln/>
            <a:solidFill>
              <a:srgbClr val="FF0000"/>
            </a:solidFill>
            <a:effectLst/>
          </a:endParaRPr>
        </a:p>
      </xdr:txBody>
    </xdr:sp>
    <xdr:clientData/>
  </xdr:oneCellAnchor>
  <xdr:twoCellAnchor editAs="oneCell">
    <xdr:from>
      <xdr:col>1</xdr:col>
      <xdr:colOff>142874</xdr:colOff>
      <xdr:row>70</xdr:row>
      <xdr:rowOff>28282</xdr:rowOff>
    </xdr:from>
    <xdr:to>
      <xdr:col>2</xdr:col>
      <xdr:colOff>1747837</xdr:colOff>
      <xdr:row>73</xdr:row>
      <xdr:rowOff>180334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229" r="47169" b="23818"/>
        <a:stretch/>
      </xdr:blipFill>
      <xdr:spPr>
        <a:xfrm>
          <a:off x="180974" y="15125407"/>
          <a:ext cx="5595938" cy="694977"/>
        </a:xfrm>
        <a:prstGeom prst="rect">
          <a:avLst/>
        </a:prstGeom>
      </xdr:spPr>
    </xdr:pic>
    <xdr:clientData/>
  </xdr:twoCellAnchor>
  <xdr:twoCellAnchor editAs="oneCell">
    <xdr:from>
      <xdr:col>10</xdr:col>
      <xdr:colOff>1904999</xdr:colOff>
      <xdr:row>5</xdr:row>
      <xdr:rowOff>52144</xdr:rowOff>
    </xdr:from>
    <xdr:to>
      <xdr:col>10</xdr:col>
      <xdr:colOff>2895599</xdr:colOff>
      <xdr:row>8</xdr:row>
      <xdr:rowOff>170135</xdr:rowOff>
    </xdr:to>
    <xdr:pic>
      <xdr:nvPicPr>
        <xdr:cNvPr id="4" name="Imagen 3" descr="Unión Europea, Brexi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2062" y="2752482"/>
          <a:ext cx="990600" cy="66091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1</xdr:col>
      <xdr:colOff>4763</xdr:colOff>
      <xdr:row>0</xdr:row>
      <xdr:rowOff>1390651</xdr:rowOff>
    </xdr:from>
    <xdr:to>
      <xdr:col>1</xdr:col>
      <xdr:colOff>1053262</xdr:colOff>
      <xdr:row>2</xdr:row>
      <xdr:rowOff>434209</xdr:rowOff>
    </xdr:to>
    <xdr:pic>
      <xdr:nvPicPr>
        <xdr:cNvPr id="5" name="Imagen 4" descr="Teclado, Escribe, Computador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299" b="-1026"/>
        <a:stretch/>
      </xdr:blipFill>
      <xdr:spPr bwMode="auto">
        <a:xfrm>
          <a:off x="42863" y="1390651"/>
          <a:ext cx="1048499" cy="79139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1</xdr:col>
      <xdr:colOff>59796</xdr:colOff>
      <xdr:row>0</xdr:row>
      <xdr:rowOff>207230</xdr:rowOff>
    </xdr:from>
    <xdr:to>
      <xdr:col>1</xdr:col>
      <xdr:colOff>2131779</xdr:colOff>
      <xdr:row>0</xdr:row>
      <xdr:rowOff>1181378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896" y="207230"/>
          <a:ext cx="2071983" cy="974148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3143250</xdr:colOff>
      <xdr:row>1</xdr:row>
      <xdr:rowOff>14287</xdr:rowOff>
    </xdr:from>
    <xdr:to>
      <xdr:col>1</xdr:col>
      <xdr:colOff>3395662</xdr:colOff>
      <xdr:row>2</xdr:row>
      <xdr:rowOff>23811</xdr:rowOff>
    </xdr:to>
    <xdr:pic>
      <xdr:nvPicPr>
        <xdr:cNvPr id="8" name="Imagen 7" descr="Casa, Comenzar, Página De Inicio, Icon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1519237"/>
          <a:ext cx="252412" cy="252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685800</xdr:colOff>
      <xdr:row>0</xdr:row>
      <xdr:rowOff>266700</xdr:rowOff>
    </xdr:from>
    <xdr:to>
      <xdr:col>12</xdr:col>
      <xdr:colOff>728662</xdr:colOff>
      <xdr:row>0</xdr:row>
      <xdr:rowOff>1139825</xdr:rowOff>
    </xdr:to>
    <xdr:pic>
      <xdr:nvPicPr>
        <xdr:cNvPr id="9" name="Imagen 8" descr="Desarrollo De Software, Post Invitado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5613" y="266700"/>
          <a:ext cx="1309687" cy="873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138112</xdr:colOff>
      <xdr:row>33</xdr:row>
      <xdr:rowOff>0</xdr:rowOff>
    </xdr:from>
    <xdr:to>
      <xdr:col>12</xdr:col>
      <xdr:colOff>495299</xdr:colOff>
      <xdr:row>34</xdr:row>
      <xdr:rowOff>171449</xdr:rowOff>
    </xdr:to>
    <xdr:pic>
      <xdr:nvPicPr>
        <xdr:cNvPr id="10" name="Imagen 9" descr="Agencia Tributaria - Aplicaciones en Google Play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0" y="6210300"/>
          <a:ext cx="357187" cy="357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214912</xdr:colOff>
      <xdr:row>0</xdr:row>
      <xdr:rowOff>142876</xdr:rowOff>
    </xdr:from>
    <xdr:to>
      <xdr:col>1</xdr:col>
      <xdr:colOff>1407102</xdr:colOff>
      <xdr:row>1</xdr:row>
      <xdr:rowOff>803866</xdr:rowOff>
    </xdr:to>
    <xdr:pic>
      <xdr:nvPicPr>
        <xdr:cNvPr id="2" name="Imagen 1" descr="Monedas, Divisa, Inversión, Segu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912" y="142876"/>
          <a:ext cx="1456293" cy="9813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1604565</xdr:colOff>
      <xdr:row>0</xdr:row>
      <xdr:rowOff>233796</xdr:rowOff>
    </xdr:from>
    <xdr:to>
      <xdr:col>1</xdr:col>
      <xdr:colOff>3676548</xdr:colOff>
      <xdr:row>1</xdr:row>
      <xdr:rowOff>887558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8668" y="233796"/>
          <a:ext cx="2071983" cy="974148"/>
        </a:xfrm>
        <a:prstGeom prst="rect">
          <a:avLst/>
        </a:prstGeom>
      </xdr:spPr>
    </xdr:pic>
    <xdr:clientData/>
  </xdr:twoCellAnchor>
  <xdr:twoCellAnchor editAs="oneCell">
    <xdr:from>
      <xdr:col>5</xdr:col>
      <xdr:colOff>1584614</xdr:colOff>
      <xdr:row>0</xdr:row>
      <xdr:rowOff>138546</xdr:rowOff>
    </xdr:from>
    <xdr:to>
      <xdr:col>5</xdr:col>
      <xdr:colOff>1837026</xdr:colOff>
      <xdr:row>1</xdr:row>
      <xdr:rowOff>70572</xdr:rowOff>
    </xdr:to>
    <xdr:pic>
      <xdr:nvPicPr>
        <xdr:cNvPr id="6" name="Imagen 5" descr="Casa, Comenzar, Página De Inicio, Icon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0853" y="138546"/>
          <a:ext cx="252412" cy="252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1400175</xdr:rowOff>
    </xdr:from>
    <xdr:to>
      <xdr:col>1</xdr:col>
      <xdr:colOff>1115174</xdr:colOff>
      <xdr:row>2</xdr:row>
      <xdr:rowOff>443733</xdr:rowOff>
    </xdr:to>
    <xdr:pic>
      <xdr:nvPicPr>
        <xdr:cNvPr id="9" name="Imagen 8" descr="Teclado, Escribe, Computador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299" b="-1026"/>
        <a:stretch/>
      </xdr:blipFill>
      <xdr:spPr bwMode="auto">
        <a:xfrm>
          <a:off x="100013" y="1400175"/>
          <a:ext cx="1048499" cy="79139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oneCellAnchor>
    <xdr:from>
      <xdr:col>1</xdr:col>
      <xdr:colOff>2858946</xdr:colOff>
      <xdr:row>0</xdr:row>
      <xdr:rowOff>91547</xdr:rowOff>
    </xdr:from>
    <xdr:ext cx="6936193" cy="937629"/>
    <xdr:sp macro="" textlink="">
      <xdr:nvSpPr>
        <xdr:cNvPr id="3" name="Rectángulo 2"/>
        <xdr:cNvSpPr/>
      </xdr:nvSpPr>
      <xdr:spPr>
        <a:xfrm>
          <a:off x="2892284" y="91547"/>
          <a:ext cx="6936193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4400" b="1" cap="none" spc="0">
              <a:ln/>
              <a:solidFill>
                <a:srgbClr val="FF0000"/>
              </a:solidFill>
              <a:effectLst/>
            </a:rPr>
            <a:t>Nómina</a:t>
          </a:r>
          <a:r>
            <a:rPr lang="es-ES" sz="5400" b="1" cap="none" spc="0">
              <a:ln/>
              <a:solidFill>
                <a:srgbClr val="FF0000"/>
              </a:solidFill>
              <a:effectLst/>
            </a:rPr>
            <a:t> </a:t>
          </a:r>
          <a:r>
            <a:rPr lang="es-ES" sz="4400" b="1" cap="none" spc="0">
              <a:ln/>
              <a:solidFill>
                <a:srgbClr val="FF0000"/>
              </a:solidFill>
              <a:effectLst/>
            </a:rPr>
            <a:t>de Maestros/as</a:t>
          </a:r>
        </a:p>
      </xdr:txBody>
    </xdr:sp>
    <xdr:clientData/>
  </xdr:oneCellAnchor>
  <xdr:twoCellAnchor editAs="oneCell">
    <xdr:from>
      <xdr:col>1</xdr:col>
      <xdr:colOff>123824</xdr:colOff>
      <xdr:row>71</xdr:row>
      <xdr:rowOff>156870</xdr:rowOff>
    </xdr:from>
    <xdr:to>
      <xdr:col>2</xdr:col>
      <xdr:colOff>1828799</xdr:colOff>
      <xdr:row>75</xdr:row>
      <xdr:rowOff>140657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229" r="47169" b="23818"/>
        <a:stretch/>
      </xdr:blipFill>
      <xdr:spPr>
        <a:xfrm>
          <a:off x="157162" y="14911095"/>
          <a:ext cx="5695950" cy="707687"/>
        </a:xfrm>
        <a:prstGeom prst="rect">
          <a:avLst/>
        </a:prstGeom>
      </xdr:spPr>
    </xdr:pic>
    <xdr:clientData/>
  </xdr:twoCellAnchor>
  <xdr:twoCellAnchor editAs="oneCell">
    <xdr:from>
      <xdr:col>10</xdr:col>
      <xdr:colOff>1928812</xdr:colOff>
      <xdr:row>5</xdr:row>
      <xdr:rowOff>66675</xdr:rowOff>
    </xdr:from>
    <xdr:to>
      <xdr:col>10</xdr:col>
      <xdr:colOff>2919412</xdr:colOff>
      <xdr:row>9</xdr:row>
      <xdr:rowOff>3691</xdr:rowOff>
    </xdr:to>
    <xdr:pic>
      <xdr:nvPicPr>
        <xdr:cNvPr id="8" name="Imagen 7" descr="Unión Europea, Brexi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0162" y="2767013"/>
          <a:ext cx="990600" cy="66091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1</xdr:col>
      <xdr:colOff>4763</xdr:colOff>
      <xdr:row>0</xdr:row>
      <xdr:rowOff>1390651</xdr:rowOff>
    </xdr:from>
    <xdr:to>
      <xdr:col>1</xdr:col>
      <xdr:colOff>1053262</xdr:colOff>
      <xdr:row>2</xdr:row>
      <xdr:rowOff>434209</xdr:rowOff>
    </xdr:to>
    <xdr:pic>
      <xdr:nvPicPr>
        <xdr:cNvPr id="10" name="Imagen 9" descr="Teclado, Escribe, Computador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299" b="-1026"/>
        <a:stretch/>
      </xdr:blipFill>
      <xdr:spPr bwMode="auto">
        <a:xfrm>
          <a:off x="76201" y="1390651"/>
          <a:ext cx="1048499" cy="79139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11</xdr:col>
      <xdr:colOff>785813</xdr:colOff>
      <xdr:row>0</xdr:row>
      <xdr:rowOff>300037</xdr:rowOff>
    </xdr:from>
    <xdr:to>
      <xdr:col>12</xdr:col>
      <xdr:colOff>716048</xdr:colOff>
      <xdr:row>0</xdr:row>
      <xdr:rowOff>1099636</xdr:rowOff>
    </xdr:to>
    <xdr:pic>
      <xdr:nvPicPr>
        <xdr:cNvPr id="11" name="Imagen 10" descr="Profesor, Propiedad, Planta, Y Enseñanza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9913" y="300037"/>
          <a:ext cx="1197060" cy="799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42862</xdr:colOff>
      <xdr:row>0</xdr:row>
      <xdr:rowOff>190501</xdr:rowOff>
    </xdr:from>
    <xdr:to>
      <xdr:col>1</xdr:col>
      <xdr:colOff>2114845</xdr:colOff>
      <xdr:row>0</xdr:row>
      <xdr:rowOff>1164649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90501"/>
          <a:ext cx="2071983" cy="974148"/>
        </a:xfrm>
        <a:prstGeom prst="rect">
          <a:avLst/>
        </a:prstGeom>
      </xdr:spPr>
    </xdr:pic>
    <xdr:clientData/>
  </xdr:twoCellAnchor>
  <xdr:twoCellAnchor editAs="oneCell">
    <xdr:from>
      <xdr:col>1</xdr:col>
      <xdr:colOff>3119437</xdr:colOff>
      <xdr:row>1</xdr:row>
      <xdr:rowOff>28575</xdr:rowOff>
    </xdr:from>
    <xdr:to>
      <xdr:col>1</xdr:col>
      <xdr:colOff>3371849</xdr:colOff>
      <xdr:row>2</xdr:row>
      <xdr:rowOff>38099</xdr:rowOff>
    </xdr:to>
    <xdr:pic>
      <xdr:nvPicPr>
        <xdr:cNvPr id="13" name="Imagen 12" descr="Casa, Comenzar, Página De Inicio, Icono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1533525"/>
          <a:ext cx="252412" cy="252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147637</xdr:colOff>
      <xdr:row>34</xdr:row>
      <xdr:rowOff>9525</xdr:rowOff>
    </xdr:from>
    <xdr:to>
      <xdr:col>12</xdr:col>
      <xdr:colOff>504824</xdr:colOff>
      <xdr:row>35</xdr:row>
      <xdr:rowOff>180974</xdr:rowOff>
    </xdr:to>
    <xdr:pic>
      <xdr:nvPicPr>
        <xdr:cNvPr id="14" name="Imagen 13" descr="Agencia Tributaria - Aplicaciones en Google Play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77612" y="8077200"/>
          <a:ext cx="357187" cy="357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907520</xdr:colOff>
      <xdr:row>0</xdr:row>
      <xdr:rowOff>197705</xdr:rowOff>
    </xdr:from>
    <xdr:ext cx="10903803" cy="1344599"/>
    <xdr:sp macro="" textlink="">
      <xdr:nvSpPr>
        <xdr:cNvPr id="3" name="Rectángulo 2"/>
        <xdr:cNvSpPr/>
      </xdr:nvSpPr>
      <xdr:spPr>
        <a:xfrm>
          <a:off x="945620" y="197705"/>
          <a:ext cx="10903803" cy="134459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4000" b="1" cap="none" spc="0">
              <a:ln/>
              <a:solidFill>
                <a:srgbClr val="FF0000"/>
              </a:solidFill>
              <a:effectLst/>
            </a:rPr>
            <a:t>Nómina de Catedráticos de EOI</a:t>
          </a:r>
        </a:p>
        <a:p>
          <a:pPr algn="ctr"/>
          <a:endParaRPr lang="es-ES" sz="4000" b="1" cap="none" spc="0">
            <a:ln/>
            <a:solidFill>
              <a:srgbClr val="FF0000"/>
            </a:solidFill>
            <a:effectLst/>
          </a:endParaRPr>
        </a:p>
      </xdr:txBody>
    </xdr:sp>
    <xdr:clientData/>
  </xdr:oneCellAnchor>
  <xdr:twoCellAnchor editAs="oneCell">
    <xdr:from>
      <xdr:col>1</xdr:col>
      <xdr:colOff>142874</xdr:colOff>
      <xdr:row>70</xdr:row>
      <xdr:rowOff>28282</xdr:rowOff>
    </xdr:from>
    <xdr:to>
      <xdr:col>2</xdr:col>
      <xdr:colOff>1747837</xdr:colOff>
      <xdr:row>73</xdr:row>
      <xdr:rowOff>180334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229" r="47169" b="23818"/>
        <a:stretch/>
      </xdr:blipFill>
      <xdr:spPr>
        <a:xfrm>
          <a:off x="180974" y="15125407"/>
          <a:ext cx="5595938" cy="694977"/>
        </a:xfrm>
        <a:prstGeom prst="rect">
          <a:avLst/>
        </a:prstGeom>
      </xdr:spPr>
    </xdr:pic>
    <xdr:clientData/>
  </xdr:twoCellAnchor>
  <xdr:twoCellAnchor editAs="oneCell">
    <xdr:from>
      <xdr:col>10</xdr:col>
      <xdr:colOff>1904999</xdr:colOff>
      <xdr:row>5</xdr:row>
      <xdr:rowOff>52144</xdr:rowOff>
    </xdr:from>
    <xdr:to>
      <xdr:col>10</xdr:col>
      <xdr:colOff>2895599</xdr:colOff>
      <xdr:row>8</xdr:row>
      <xdr:rowOff>170135</xdr:rowOff>
    </xdr:to>
    <xdr:pic>
      <xdr:nvPicPr>
        <xdr:cNvPr id="5" name="Imagen 4" descr="Unión Europea, Brexi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2062" y="2752482"/>
          <a:ext cx="990600" cy="66091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1</xdr:col>
      <xdr:colOff>4763</xdr:colOff>
      <xdr:row>0</xdr:row>
      <xdr:rowOff>1390651</xdr:rowOff>
    </xdr:from>
    <xdr:to>
      <xdr:col>1</xdr:col>
      <xdr:colOff>1053262</xdr:colOff>
      <xdr:row>2</xdr:row>
      <xdr:rowOff>434209</xdr:rowOff>
    </xdr:to>
    <xdr:pic>
      <xdr:nvPicPr>
        <xdr:cNvPr id="6" name="Imagen 5" descr="Teclado, Escribe, Computador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299" b="-1026"/>
        <a:stretch/>
      </xdr:blipFill>
      <xdr:spPr bwMode="auto">
        <a:xfrm>
          <a:off x="42863" y="1390651"/>
          <a:ext cx="1048499" cy="79139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1</xdr:col>
      <xdr:colOff>42862</xdr:colOff>
      <xdr:row>0</xdr:row>
      <xdr:rowOff>214313</xdr:rowOff>
    </xdr:from>
    <xdr:to>
      <xdr:col>1</xdr:col>
      <xdr:colOff>2114845</xdr:colOff>
      <xdr:row>0</xdr:row>
      <xdr:rowOff>1188461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" y="214313"/>
          <a:ext cx="2071983" cy="974148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3143250</xdr:colOff>
      <xdr:row>1</xdr:row>
      <xdr:rowOff>38100</xdr:rowOff>
    </xdr:from>
    <xdr:to>
      <xdr:col>1</xdr:col>
      <xdr:colOff>3395662</xdr:colOff>
      <xdr:row>2</xdr:row>
      <xdr:rowOff>47624</xdr:rowOff>
    </xdr:to>
    <xdr:pic>
      <xdr:nvPicPr>
        <xdr:cNvPr id="11" name="Imagen 10" descr="Casa, Comenzar, Página De Inicio, Icon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1543050"/>
          <a:ext cx="252412" cy="252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519113</xdr:colOff>
      <xdr:row>0</xdr:row>
      <xdr:rowOff>314325</xdr:rowOff>
    </xdr:from>
    <xdr:to>
      <xdr:col>12</xdr:col>
      <xdr:colOff>604838</xdr:colOff>
      <xdr:row>0</xdr:row>
      <xdr:rowOff>1170236</xdr:rowOff>
    </xdr:to>
    <xdr:pic>
      <xdr:nvPicPr>
        <xdr:cNvPr id="12" name="Imagen 11" descr="Profesor, Espalda, Demostración, Lección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8926" y="314325"/>
          <a:ext cx="1352550" cy="8559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161925</xdr:colOff>
      <xdr:row>32</xdr:row>
      <xdr:rowOff>171450</xdr:rowOff>
    </xdr:from>
    <xdr:to>
      <xdr:col>12</xdr:col>
      <xdr:colOff>519112</xdr:colOff>
      <xdr:row>34</xdr:row>
      <xdr:rowOff>157162</xdr:rowOff>
    </xdr:to>
    <xdr:pic>
      <xdr:nvPicPr>
        <xdr:cNvPr id="13" name="Imagen 12" descr="Agencia Tributaria - Aplicaciones en Google Play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8563" y="6200775"/>
          <a:ext cx="357187" cy="357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8"/>
  <sheetViews>
    <sheetView showRowColHeaders="0" zoomScaleNormal="100" workbookViewId="0">
      <selection activeCell="B2" sqref="B2"/>
    </sheetView>
  </sheetViews>
  <sheetFormatPr baseColWidth="10" defaultRowHeight="14.25" x14ac:dyDescent="0.45"/>
  <cols>
    <col min="1" max="1" width="0.53125" style="4" customWidth="1"/>
    <col min="2" max="2" width="55.86328125" style="4" customWidth="1"/>
    <col min="3" max="3" width="26.19921875" style="4" customWidth="1"/>
    <col min="4" max="4" width="2.265625" style="24" customWidth="1"/>
    <col min="5" max="5" width="1" style="24" customWidth="1"/>
    <col min="6" max="6" width="0.796875" style="24" hidden="1" customWidth="1"/>
    <col min="7" max="7" width="6.640625E-2" style="24" hidden="1" customWidth="1"/>
    <col min="8" max="8" width="6.19921875" style="24" hidden="1" customWidth="1"/>
    <col min="9" max="9" width="1.1328125" style="4" customWidth="1"/>
    <col min="10" max="10" width="10.6640625" style="4"/>
    <col min="11" max="11" width="41.33203125" style="4" customWidth="1"/>
    <col min="12" max="12" width="17.73046875" style="4" customWidth="1"/>
    <col min="13" max="13" width="17.9296875" style="4" customWidth="1"/>
    <col min="14" max="14" width="5.3984375" style="4" customWidth="1"/>
    <col min="15" max="15" width="4.73046875" style="4" customWidth="1"/>
    <col min="16" max="16384" width="10.6640625" style="4"/>
  </cols>
  <sheetData>
    <row r="1" spans="1:29" ht="118.5" customHeight="1" thickBot="1" x14ac:dyDescent="0.5">
      <c r="O1"/>
    </row>
    <row r="2" spans="1:29" ht="19.149999999999999" customHeight="1" thickBot="1" x14ac:dyDescent="0.5">
      <c r="B2" s="96" t="s">
        <v>293</v>
      </c>
      <c r="L2" s="33" t="s">
        <v>241</v>
      </c>
      <c r="M2" s="34" t="s">
        <v>172</v>
      </c>
      <c r="Q2" s="24"/>
      <c r="R2" s="24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8.25" customHeight="1" thickBot="1" x14ac:dyDescent="0.7">
      <c r="B3" s="158" t="s">
        <v>240</v>
      </c>
      <c r="C3" s="159"/>
      <c r="J3" s="160" t="s">
        <v>227</v>
      </c>
      <c r="K3" s="161"/>
      <c r="L3" s="84">
        <f>L4-SUM(L28:L32)</f>
        <v>2024.1650679423246</v>
      </c>
      <c r="M3" s="84">
        <f>M4-SUM(M28:M32)</f>
        <v>1840.5959743460526</v>
      </c>
      <c r="Q3" s="24"/>
      <c r="R3" s="24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8.399999999999999" customHeight="1" thickBot="1" x14ac:dyDescent="0.5">
      <c r="A4" s="24"/>
      <c r="B4" s="26" t="s">
        <v>274</v>
      </c>
      <c r="C4" s="49">
        <v>100</v>
      </c>
      <c r="D4" s="50" t="s">
        <v>140</v>
      </c>
      <c r="J4" s="162" t="s">
        <v>121</v>
      </c>
      <c r="K4" s="163"/>
      <c r="L4" s="152">
        <f>SUM(L6:L26)</f>
        <v>2835.58</v>
      </c>
      <c r="M4" s="152">
        <f>SUM(M6:M26)</f>
        <v>2337.46</v>
      </c>
      <c r="Q4" s="24"/>
      <c r="R4" s="24"/>
      <c r="S4" s="5"/>
      <c r="T4" s="5" t="s">
        <v>122</v>
      </c>
      <c r="U4" s="5"/>
      <c r="V4" s="5">
        <f>$C$6*Datos!G15</f>
        <v>0</v>
      </c>
      <c r="W4" s="5">
        <f>$C$6*Datos!G16</f>
        <v>0</v>
      </c>
      <c r="X4" s="5"/>
      <c r="Y4" s="5"/>
      <c r="Z4" s="5"/>
      <c r="AA4" s="5"/>
      <c r="AB4" s="5"/>
      <c r="AC4" s="5"/>
    </row>
    <row r="5" spans="1:29" ht="18.399999999999999" customHeight="1" thickBot="1" x14ac:dyDescent="0.5">
      <c r="A5" s="24"/>
      <c r="B5" s="26" t="s">
        <v>163</v>
      </c>
      <c r="C5" s="48"/>
      <c r="D5" s="5" t="s">
        <v>285</v>
      </c>
      <c r="E5" s="5"/>
      <c r="F5" s="5"/>
      <c r="G5" s="5"/>
      <c r="H5" s="5"/>
      <c r="I5" s="5"/>
      <c r="J5" s="164"/>
      <c r="K5" s="165"/>
      <c r="L5" s="153"/>
      <c r="M5" s="153"/>
      <c r="Q5" s="24"/>
      <c r="R5" s="24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x14ac:dyDescent="0.45">
      <c r="A6" s="24"/>
      <c r="B6" s="6" t="str">
        <f>T4</f>
        <v>Trienios A1</v>
      </c>
      <c r="C6" s="17">
        <v>0</v>
      </c>
      <c r="D6" s="5" t="s">
        <v>288</v>
      </c>
      <c r="E6" s="5"/>
      <c r="F6" s="5"/>
      <c r="G6" s="5"/>
      <c r="H6" s="5"/>
      <c r="I6" s="5"/>
      <c r="J6" s="63" t="s">
        <v>118</v>
      </c>
      <c r="K6" s="67"/>
      <c r="L6" s="59">
        <f>ROUND((C4/100)*Datos!G4,2)</f>
        <v>1300.8800000000001</v>
      </c>
      <c r="M6" s="59">
        <f>ROUND((C4/100)*Datos!G5,2)</f>
        <v>802.76</v>
      </c>
      <c r="Q6" s="24"/>
      <c r="R6" s="24"/>
      <c r="S6" s="5"/>
      <c r="T6" s="5" t="s">
        <v>123</v>
      </c>
      <c r="U6" s="5"/>
      <c r="V6" s="5">
        <f>$C$7*Datos!G17</f>
        <v>0</v>
      </c>
      <c r="W6" s="5">
        <f>$C$7*Datos!G18</f>
        <v>0</v>
      </c>
      <c r="X6" s="5"/>
      <c r="Y6" s="5"/>
      <c r="Z6" s="5"/>
      <c r="AA6" s="5"/>
      <c r="AB6" s="5"/>
      <c r="AC6" s="5"/>
    </row>
    <row r="7" spans="1:29" x14ac:dyDescent="0.45">
      <c r="A7" s="24"/>
      <c r="B7" s="8" t="str">
        <f t="shared" ref="B7:B10" si="0">T6</f>
        <v>Trienios A2</v>
      </c>
      <c r="C7" s="18">
        <v>0</v>
      </c>
      <c r="D7" s="5"/>
      <c r="E7" s="5"/>
      <c r="F7" s="5"/>
      <c r="G7" s="5"/>
      <c r="H7" s="5"/>
      <c r="I7" s="5"/>
      <c r="J7" s="42" t="s">
        <v>119</v>
      </c>
      <c r="K7"/>
      <c r="L7" s="60">
        <f>ROUND(($C$4/100)*Datos!G9,2)</f>
        <v>683.75</v>
      </c>
      <c r="M7" s="60">
        <f>L7</f>
        <v>683.75</v>
      </c>
      <c r="Q7" s="24"/>
      <c r="R7" s="24"/>
      <c r="S7" s="5"/>
      <c r="T7" s="5" t="s">
        <v>124</v>
      </c>
      <c r="U7" s="5"/>
      <c r="V7" s="5">
        <f>$C$8*Datos!G19</f>
        <v>0</v>
      </c>
      <c r="W7" s="5">
        <f>$C$8*Datos!G20</f>
        <v>0</v>
      </c>
      <c r="X7" s="5"/>
      <c r="Y7" s="5"/>
      <c r="Z7" s="5"/>
      <c r="AA7" s="5"/>
      <c r="AB7" s="5"/>
      <c r="AC7" s="5"/>
    </row>
    <row r="8" spans="1:29" x14ac:dyDescent="0.45">
      <c r="A8" s="24"/>
      <c r="B8" s="8" t="str">
        <f t="shared" si="0"/>
        <v>Trienios C1</v>
      </c>
      <c r="C8" s="18">
        <v>0</v>
      </c>
      <c r="D8" s="5"/>
      <c r="E8" s="5"/>
      <c r="F8" s="5"/>
      <c r="G8" s="5"/>
      <c r="H8" s="5"/>
      <c r="I8" s="5"/>
      <c r="J8" s="42" t="s">
        <v>120</v>
      </c>
      <c r="K8" s="68"/>
      <c r="L8" s="60">
        <f>ROUND(($C$4/100)*Datos!G13,2)</f>
        <v>850.95</v>
      </c>
      <c r="M8" s="60">
        <f>L8</f>
        <v>850.95</v>
      </c>
      <c r="Q8" s="24"/>
      <c r="R8" s="24"/>
      <c r="S8" s="5"/>
      <c r="T8" s="5" t="s">
        <v>125</v>
      </c>
      <c r="U8" s="5"/>
      <c r="V8" s="5">
        <f>$C$9*Datos!G21</f>
        <v>0</v>
      </c>
      <c r="W8" s="5">
        <f>$C$9*Datos!G22</f>
        <v>0</v>
      </c>
      <c r="X8" s="5"/>
      <c r="Y8" s="5"/>
      <c r="Z8" s="5"/>
      <c r="AA8" s="5"/>
      <c r="AB8" s="5"/>
      <c r="AC8" s="5"/>
    </row>
    <row r="9" spans="1:29" x14ac:dyDescent="0.45">
      <c r="A9" s="24"/>
      <c r="B9" s="8" t="str">
        <f t="shared" si="0"/>
        <v>Trienios C2</v>
      </c>
      <c r="C9" s="18">
        <v>0</v>
      </c>
      <c r="D9" s="5"/>
      <c r="E9" s="5"/>
      <c r="F9" s="5"/>
      <c r="G9" s="5"/>
      <c r="H9" s="5"/>
      <c r="I9" s="5"/>
      <c r="J9" s="42" t="s">
        <v>126</v>
      </c>
      <c r="K9" s="68"/>
      <c r="L9" s="60">
        <f>IF(SUM(C6:C10)&gt;0,ROUND(V12*C4/100,2),0)</f>
        <v>0</v>
      </c>
      <c r="M9" s="60">
        <f>W12</f>
        <v>0</v>
      </c>
      <c r="Q9" s="24"/>
      <c r="R9" s="24"/>
      <c r="S9" s="5"/>
      <c r="T9" s="5" t="s">
        <v>127</v>
      </c>
      <c r="U9" s="5"/>
      <c r="V9" s="5">
        <f>$C$10*Datos!G23</f>
        <v>0</v>
      </c>
      <c r="W9" s="5">
        <f>$C$10*Datos!G24</f>
        <v>0</v>
      </c>
      <c r="X9" s="5"/>
      <c r="Y9" s="5"/>
      <c r="Z9" s="5"/>
      <c r="AA9" s="5"/>
      <c r="AB9" s="5"/>
      <c r="AC9" s="5"/>
    </row>
    <row r="10" spans="1:29" ht="14.65" thickBot="1" x14ac:dyDescent="0.5">
      <c r="A10" s="24"/>
      <c r="B10" s="12" t="str">
        <f t="shared" si="0"/>
        <v>Trienios agrupaciones especiales</v>
      </c>
      <c r="C10" s="19">
        <v>0</v>
      </c>
      <c r="D10" s="5"/>
      <c r="E10" s="5"/>
      <c r="F10" s="5"/>
      <c r="G10" s="5"/>
      <c r="H10" s="5"/>
      <c r="I10" s="5"/>
      <c r="J10" s="42" t="s">
        <v>153</v>
      </c>
      <c r="K10" s="68"/>
      <c r="L10" s="60">
        <f>IF(C12&gt;0,ROUND(N13*C4/100,2),0)</f>
        <v>0</v>
      </c>
      <c r="M10" s="60">
        <f>L10</f>
        <v>0</v>
      </c>
      <c r="Q10" s="24"/>
      <c r="R10" s="24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4.65" thickBot="1" x14ac:dyDescent="0.5">
      <c r="A11" s="5"/>
      <c r="B11" s="27" t="s">
        <v>284</v>
      </c>
      <c r="C11" s="20" t="s">
        <v>285</v>
      </c>
      <c r="D11" s="5"/>
      <c r="E11" s="5"/>
      <c r="F11" s="5"/>
      <c r="G11" s="5"/>
      <c r="H11" s="5"/>
      <c r="I11" s="5"/>
      <c r="J11" s="42" t="s">
        <v>24</v>
      </c>
      <c r="K11" s="68"/>
      <c r="L11" s="60">
        <f>IF(C13=D14,ROUND(C4*MAX(E28:E33,G28:G33)/100,2),0)</f>
        <v>0</v>
      </c>
      <c r="M11" s="60">
        <f t="shared" ref="M11:M26" si="1">L11</f>
        <v>0</v>
      </c>
      <c r="Q11" s="24"/>
      <c r="R11" s="24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4.65" thickBot="1" x14ac:dyDescent="0.5">
      <c r="A12" s="5"/>
      <c r="B12" s="27" t="s">
        <v>129</v>
      </c>
      <c r="C12" s="20">
        <v>0</v>
      </c>
      <c r="D12" s="5" t="str">
        <f>IF(OR(C13=D14,C13=D18,C13=D19,C13=D20),D14,"")</f>
        <v/>
      </c>
      <c r="E12" s="5"/>
      <c r="F12" s="5"/>
      <c r="G12" s="5"/>
      <c r="H12" s="5"/>
      <c r="I12" s="5"/>
      <c r="J12" s="42" t="s">
        <v>39</v>
      </c>
      <c r="K12" s="68"/>
      <c r="L12" s="60">
        <f>IF(C13=D16,ROUND(C4*MAX(F28:F32,H28:H32)/100,2),0)</f>
        <v>0</v>
      </c>
      <c r="M12" s="60">
        <f t="shared" si="1"/>
        <v>0</v>
      </c>
      <c r="Q12" s="24"/>
      <c r="R12" s="24"/>
      <c r="S12" s="5"/>
      <c r="T12" s="5" t="s">
        <v>128</v>
      </c>
      <c r="U12" s="5"/>
      <c r="V12" s="5">
        <f>SUM(V4:V9)</f>
        <v>0</v>
      </c>
      <c r="W12" s="5">
        <f>SUM(W4:W9)</f>
        <v>0</v>
      </c>
      <c r="X12" s="5"/>
      <c r="Y12" s="5"/>
      <c r="Z12" s="5"/>
      <c r="AA12" s="5"/>
      <c r="AB12" s="5"/>
      <c r="AC12" s="5"/>
    </row>
    <row r="13" spans="1:29" ht="14.65" thickBot="1" x14ac:dyDescent="0.5">
      <c r="A13" s="5"/>
      <c r="B13" s="27" t="s">
        <v>280</v>
      </c>
      <c r="C13" s="20" t="s">
        <v>141</v>
      </c>
      <c r="D13" s="5" t="s">
        <v>141</v>
      </c>
      <c r="E13" s="5"/>
      <c r="F13" s="5" t="s">
        <v>27</v>
      </c>
      <c r="G13" s="5" t="s">
        <v>136</v>
      </c>
      <c r="H13" s="5" t="s">
        <v>143</v>
      </c>
      <c r="I13" s="5"/>
      <c r="J13" s="42" t="s">
        <v>40</v>
      </c>
      <c r="K13" s="68"/>
      <c r="L13" s="99">
        <f>IF(C13=D15,ROUND(C4*MAX(F28:F32,H28:H32)/100,2),0)</f>
        <v>0</v>
      </c>
      <c r="M13" s="60">
        <f t="shared" si="1"/>
        <v>0</v>
      </c>
      <c r="N13" s="5">
        <f>IF(C12=1,Datos!J26,IF(C12=2,Datos!J27,IF(C12=3,Datos!J28,IF(C12=4,Datos!J29,IF(C12=5,Datos!J30,0)))))</f>
        <v>0</v>
      </c>
      <c r="Q13" s="24"/>
      <c r="R13" s="24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4.65" thickBot="1" x14ac:dyDescent="0.5">
      <c r="A14" s="5"/>
      <c r="B14" s="27" t="s">
        <v>130</v>
      </c>
      <c r="C14" s="20"/>
      <c r="D14" s="5" t="s">
        <v>132</v>
      </c>
      <c r="E14" s="5"/>
      <c r="F14" s="5" t="s">
        <v>28</v>
      </c>
      <c r="G14" s="5" t="s">
        <v>137</v>
      </c>
      <c r="H14" s="5" t="s">
        <v>144</v>
      </c>
      <c r="I14" s="5"/>
      <c r="J14" s="42" t="s">
        <v>154</v>
      </c>
      <c r="K14" s="68"/>
      <c r="L14" s="60">
        <f>IF(C13=D17,ROUND(Datos!G77*'Orientación Educativa'!C4/100,2),0)</f>
        <v>0</v>
      </c>
      <c r="M14" s="60">
        <f t="shared" si="1"/>
        <v>0</v>
      </c>
      <c r="Q14" s="24"/>
      <c r="R14" s="24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4.65" thickBot="1" x14ac:dyDescent="0.5">
      <c r="A15" s="5"/>
      <c r="B15" s="27" t="s">
        <v>53</v>
      </c>
      <c r="C15" s="20" t="s">
        <v>144</v>
      </c>
      <c r="D15" s="5" t="s">
        <v>133</v>
      </c>
      <c r="E15" s="5"/>
      <c r="F15" s="5" t="s">
        <v>29</v>
      </c>
      <c r="G15" s="5" t="s">
        <v>138</v>
      </c>
      <c r="H15" s="5"/>
      <c r="I15" s="5"/>
      <c r="J15" s="42" t="str">
        <f>B16</f>
        <v>Jefatura de Residencia Tipo A</v>
      </c>
      <c r="K15" s="68"/>
      <c r="L15" s="60">
        <f>IF(C16="Sí",ROUND(Datos!G85*'Orientación Educativa'!C4/100,2),0)</f>
        <v>0</v>
      </c>
      <c r="M15" s="60">
        <f t="shared" si="1"/>
        <v>0</v>
      </c>
      <c r="Q15" s="24"/>
      <c r="R15" s="24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4.65" thickBot="1" x14ac:dyDescent="0.5">
      <c r="A16" s="5"/>
      <c r="B16" s="27" t="s">
        <v>50</v>
      </c>
      <c r="C16" s="20" t="s">
        <v>144</v>
      </c>
      <c r="D16" s="5" t="s">
        <v>134</v>
      </c>
      <c r="E16" s="5"/>
      <c r="F16" s="5" t="s">
        <v>30</v>
      </c>
      <c r="G16" s="5" t="s">
        <v>139</v>
      </c>
      <c r="H16" s="5" t="s">
        <v>144</v>
      </c>
      <c r="I16" s="5"/>
      <c r="J16" s="42" t="str">
        <f>B17</f>
        <v>Jefatura de Residencia Tipo B</v>
      </c>
      <c r="K16" s="68"/>
      <c r="L16" s="60">
        <f>IF(C17="Sí",ROUND(Datos!G86*'Orientación Educativa'!C4/100,2),0)</f>
        <v>0</v>
      </c>
      <c r="M16" s="60">
        <f t="shared" si="1"/>
        <v>0</v>
      </c>
      <c r="Q16" s="24"/>
      <c r="R16" s="24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4.65" thickBot="1" x14ac:dyDescent="0.5">
      <c r="A17" s="5"/>
      <c r="B17" s="27" t="s">
        <v>51</v>
      </c>
      <c r="C17" s="20" t="s">
        <v>144</v>
      </c>
      <c r="D17" s="5" t="s">
        <v>142</v>
      </c>
      <c r="E17" s="5"/>
      <c r="F17" s="5" t="s">
        <v>31</v>
      </c>
      <c r="G17" s="5"/>
      <c r="H17" s="5" t="s">
        <v>145</v>
      </c>
      <c r="I17" s="5"/>
      <c r="J17" s="42" t="str">
        <f>B18</f>
        <v>Jefatura de Residencia de CEE</v>
      </c>
      <c r="K17" s="68"/>
      <c r="L17" s="60">
        <f>IF(C18="Sí",ROUND(Datos!G87*'Orientación Educativa'!C4/100,2),0)</f>
        <v>0</v>
      </c>
      <c r="M17" s="60">
        <f t="shared" si="1"/>
        <v>0</v>
      </c>
      <c r="Q17" s="24"/>
      <c r="R17" s="24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14.65" thickBot="1" x14ac:dyDescent="0.5">
      <c r="A18" s="5"/>
      <c r="B18" s="27" t="s">
        <v>104</v>
      </c>
      <c r="C18" s="20" t="s">
        <v>144</v>
      </c>
      <c r="D18" s="5" t="s">
        <v>281</v>
      </c>
      <c r="E18" s="5"/>
      <c r="F18" s="5" t="s">
        <v>32</v>
      </c>
      <c r="G18" s="5"/>
      <c r="H18" s="5" t="s">
        <v>146</v>
      </c>
      <c r="I18" s="5"/>
      <c r="J18" s="42" t="str">
        <f>B19</f>
        <v>Coordinación Equipos de Atención Hospitalaria y Domiciliaria</v>
      </c>
      <c r="K18" s="68"/>
      <c r="L18" s="60">
        <f>IF(C19="Sí",ROUND(Datos!G89*'Orientación Educativa'!C4/100,2),0)</f>
        <v>0</v>
      </c>
      <c r="M18" s="60">
        <f t="shared" si="1"/>
        <v>0</v>
      </c>
      <c r="Q18" s="24"/>
      <c r="R18" s="24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14.65" thickBot="1" x14ac:dyDescent="0.5">
      <c r="A19" s="5"/>
      <c r="B19" s="27" t="s">
        <v>102</v>
      </c>
      <c r="C19" s="20" t="s">
        <v>144</v>
      </c>
      <c r="D19" s="5" t="s">
        <v>282</v>
      </c>
      <c r="E19" s="5"/>
      <c r="F19" s="5"/>
      <c r="G19" s="5"/>
      <c r="H19" s="5" t="s">
        <v>147</v>
      </c>
      <c r="I19" s="5"/>
      <c r="J19" s="42" t="str">
        <f>B20</f>
        <v>Coordinación Programa Recuperación Pueblos Abandonados</v>
      </c>
      <c r="K19" s="68"/>
      <c r="L19" s="60">
        <f>IF(C20="Sí",ROUND(Datos!G90*'Orientación Educativa'!C4/100,2),0)</f>
        <v>0</v>
      </c>
      <c r="M19" s="60">
        <f t="shared" si="1"/>
        <v>0</v>
      </c>
      <c r="Q19" s="24"/>
      <c r="R19" s="24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14.65" thickBot="1" x14ac:dyDescent="0.5">
      <c r="A20" s="5"/>
      <c r="B20" s="27" t="s">
        <v>103</v>
      </c>
      <c r="C20" s="20" t="s">
        <v>144</v>
      </c>
      <c r="D20" s="5" t="s">
        <v>283</v>
      </c>
      <c r="E20" s="5"/>
      <c r="F20" s="5"/>
      <c r="G20" s="5"/>
      <c r="H20" s="5"/>
      <c r="I20" s="5"/>
      <c r="J20" s="42" t="s">
        <v>53</v>
      </c>
      <c r="K20" s="68"/>
      <c r="L20" s="60">
        <f>IF(C15="Sí",ROUND(Datos!G91*'Orientación Educativa'!C4/100,2),0)</f>
        <v>0</v>
      </c>
      <c r="M20" s="60">
        <f t="shared" si="1"/>
        <v>0</v>
      </c>
      <c r="Q20" s="24"/>
      <c r="R20" s="24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14.65" thickBot="1" x14ac:dyDescent="0.5">
      <c r="A21" s="5"/>
      <c r="B21" s="27" t="s">
        <v>54</v>
      </c>
      <c r="C21" s="20" t="s">
        <v>144</v>
      </c>
      <c r="D21" s="5">
        <f>IF(C13=D18,0.25,IF(C13=D19,0.4,IF(C13=D20,0.6,0)))</f>
        <v>0</v>
      </c>
      <c r="E21" s="5"/>
      <c r="F21" s="5"/>
      <c r="G21" s="5"/>
      <c r="H21" s="5"/>
      <c r="I21" s="5"/>
      <c r="J21" s="42" t="s">
        <v>276</v>
      </c>
      <c r="K21" s="68"/>
      <c r="L21" s="60">
        <f>IF(C22="Sí",ROUND(Datos!G97*'Orientación Educativa'!C4/100,2),0)</f>
        <v>0</v>
      </c>
      <c r="M21" s="60">
        <f t="shared" si="1"/>
        <v>0</v>
      </c>
      <c r="Q21" s="24"/>
      <c r="R21" s="24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14.65" thickBot="1" x14ac:dyDescent="0.5">
      <c r="A22" s="5"/>
      <c r="B22" s="27" t="s">
        <v>275</v>
      </c>
      <c r="C22" s="20" t="s">
        <v>144</v>
      </c>
      <c r="D22" s="5"/>
      <c r="E22" s="5"/>
      <c r="F22" s="5"/>
      <c r="G22" s="5"/>
      <c r="H22" s="5"/>
      <c r="I22" s="5"/>
      <c r="J22" s="42" t="s">
        <v>158</v>
      </c>
      <c r="K22" s="68"/>
      <c r="L22" s="60">
        <f>IF(C24="Sí",ROUND(C4*SUM(D24:D26)/100,2),0)</f>
        <v>0</v>
      </c>
      <c r="M22" s="60">
        <f>L22</f>
        <v>0</v>
      </c>
      <c r="Q22" s="24"/>
      <c r="R22" s="24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14.65" thickBot="1" x14ac:dyDescent="0.5">
      <c r="A23" s="5"/>
      <c r="B23" s="27" t="s">
        <v>347</v>
      </c>
      <c r="C23" s="20" t="s">
        <v>144</v>
      </c>
      <c r="D23" s="5"/>
      <c r="E23" s="5"/>
      <c r="F23" s="5"/>
      <c r="G23" s="5"/>
      <c r="H23" s="5"/>
      <c r="I23" s="5"/>
      <c r="J23" s="42" t="s">
        <v>348</v>
      </c>
      <c r="K23" s="68"/>
      <c r="L23" s="60">
        <f>IF(C23="Sí",ROUND(Datos!G96*C4/100,2),0)</f>
        <v>0</v>
      </c>
      <c r="M23" s="60">
        <f>L23</f>
        <v>0</v>
      </c>
      <c r="Q23" s="24"/>
      <c r="R23" s="24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4.65" thickBot="1" x14ac:dyDescent="0.5">
      <c r="A24" s="5"/>
      <c r="B24" s="27" t="s">
        <v>150</v>
      </c>
      <c r="C24" s="20" t="s">
        <v>144</v>
      </c>
      <c r="D24" s="5">
        <f>IF(C24="No",0,Datos!G102)</f>
        <v>0</v>
      </c>
      <c r="E24" s="5"/>
      <c r="F24" s="5"/>
      <c r="G24" s="5"/>
      <c r="H24" s="5"/>
      <c r="I24" s="5"/>
      <c r="J24" s="42" t="s">
        <v>159</v>
      </c>
      <c r="K24" s="68"/>
      <c r="L24" s="60">
        <f>IF(C27="Sí",ROUND(C4*MIN(D28:D37)/100,2),0)</f>
        <v>0</v>
      </c>
      <c r="M24"/>
      <c r="Q24" s="24"/>
      <c r="R24" s="24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14.65" thickBot="1" x14ac:dyDescent="0.5">
      <c r="A25" s="5"/>
      <c r="B25" s="15" t="s">
        <v>148</v>
      </c>
      <c r="C25" s="20" t="s">
        <v>144</v>
      </c>
      <c r="D25" s="5">
        <f>IF(AND(C24="Sí",C25="Sí"),Datos!G103,0)</f>
        <v>0</v>
      </c>
      <c r="E25" s="5"/>
      <c r="F25" s="5"/>
      <c r="G25" s="5"/>
      <c r="H25" s="5"/>
      <c r="I25" s="5"/>
      <c r="J25" s="42" t="s">
        <v>279</v>
      </c>
      <c r="K25" s="69"/>
      <c r="L25" s="60">
        <f>IF(D21&gt;0,ROUND(C4*MAX(E28:E34,G28:G34)*D21/100,2),0)</f>
        <v>0</v>
      </c>
      <c r="M25" s="60">
        <f>L25</f>
        <v>0</v>
      </c>
      <c r="Q25" s="24"/>
      <c r="R25" s="24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14.65" thickBot="1" x14ac:dyDescent="0.5">
      <c r="A26" s="5"/>
      <c r="B26" s="15" t="s">
        <v>149</v>
      </c>
      <c r="C26" s="20">
        <v>0</v>
      </c>
      <c r="D26" s="5">
        <f>IF(C24="Sí",C26*Datos!G104,0)</f>
        <v>0</v>
      </c>
      <c r="E26" s="5"/>
      <c r="F26" s="5"/>
      <c r="G26" s="5"/>
      <c r="H26" s="5"/>
      <c r="I26" s="5"/>
      <c r="J26" s="61" t="s">
        <v>289</v>
      </c>
      <c r="K26" s="70"/>
      <c r="L26" s="62">
        <f>IF(C21="Sí",ROUND(Datos!G92*C4/100,2),0)</f>
        <v>0</v>
      </c>
      <c r="M26" s="62">
        <f t="shared" si="1"/>
        <v>0</v>
      </c>
      <c r="Q26" s="24"/>
      <c r="R26" s="24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x14ac:dyDescent="0.45">
      <c r="A27" s="5"/>
      <c r="B27" s="133" t="s">
        <v>151</v>
      </c>
      <c r="C27" s="134" t="s">
        <v>144</v>
      </c>
      <c r="D27" s="5"/>
      <c r="E27" s="5" t="s">
        <v>131</v>
      </c>
      <c r="F27" s="5" t="s">
        <v>160</v>
      </c>
      <c r="G27" s="5" t="s">
        <v>286</v>
      </c>
      <c r="H27" s="5" t="s">
        <v>287</v>
      </c>
      <c r="I27" s="5"/>
      <c r="J27" s="64" t="s">
        <v>168</v>
      </c>
      <c r="K27" s="65"/>
      <c r="L27" s="66"/>
      <c r="M27" s="65"/>
      <c r="Q27" s="24"/>
      <c r="R27" s="24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x14ac:dyDescent="0.45">
      <c r="A28" s="5"/>
      <c r="B28" s="136" t="s">
        <v>152</v>
      </c>
      <c r="C28" s="134">
        <v>0</v>
      </c>
      <c r="D28" s="5">
        <f>IF($C$28&lt;=50,Datos!G107,"")</f>
        <v>16.559999999999999</v>
      </c>
      <c r="E28" s="5" t="str">
        <f>IF(AND(C11=D5,$D12=$D$14,$C$14=F13),Datos!G64,"")</f>
        <v/>
      </c>
      <c r="F28" s="5" t="str">
        <f>IF(AND(OR($C$13=$D$15,$C$13=$D$16),$C$14=F13,C11=D5),Datos!G68,"")</f>
        <v/>
      </c>
      <c r="G28" s="5" t="str">
        <f>IF(AND(C11=D6,$D12=$D$14,$C$14=F13),Datos!G32,"")</f>
        <v/>
      </c>
      <c r="H28" s="5" t="str">
        <f>IF(AND(OR($C$13=$D$15,$C$13=$D$16),$C$14=F13,C11=D6),Datos!G38,"")</f>
        <v/>
      </c>
      <c r="I28" s="5"/>
      <c r="J28" s="9" t="s">
        <v>237</v>
      </c>
      <c r="K28" s="46"/>
      <c r="L28" s="22">
        <f>IF(OR(C30="Funcionario/a de carrera",C30="Funcionario/a en prácticas"),51.68,0)</f>
        <v>0</v>
      </c>
      <c r="M28" s="56">
        <f>L28</f>
        <v>0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4.65" thickBot="1" x14ac:dyDescent="0.5">
      <c r="A29" s="5"/>
      <c r="B29" s="154" t="s">
        <v>239</v>
      </c>
      <c r="C29" s="155"/>
      <c r="D29" s="5">
        <f>IF($C$28&lt;=100,Datos!G108,"")</f>
        <v>33.119999999999997</v>
      </c>
      <c r="E29" s="5" t="str">
        <f>IF(AND(C11=D5,$D$12=$D$14,$C$14=F14),Datos!G65,"")</f>
        <v/>
      </c>
      <c r="F29" s="5" t="str">
        <f>IF(AND(OR($C$13=$D$15,$C$13=$D$16),$C$14=F14,C11=D5),Datos!G69,"")</f>
        <v/>
      </c>
      <c r="G29" s="5" t="str">
        <f>IF(AND(C11=D6,$D12=$D$14,$C$14=F14),Datos!G33,"")</f>
        <v/>
      </c>
      <c r="H29" s="5" t="str">
        <f>IF(AND(OR($C$13=$D$15,$C$13=$D$16),$C$14=F14,C11=D6),Datos!G39,"")</f>
        <v/>
      </c>
      <c r="I29" s="5"/>
      <c r="J29" s="9" t="s">
        <v>238</v>
      </c>
      <c r="K29" s="46"/>
      <c r="L29" s="22">
        <f>IF(AND(L28&gt;0,C31&lt;2011,C31&gt;0),118.04,0)</f>
        <v>0</v>
      </c>
      <c r="M29" s="56">
        <f>L29</f>
        <v>0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14.65" thickBot="1" x14ac:dyDescent="0.5">
      <c r="A30" s="5"/>
      <c r="B30" s="27" t="s">
        <v>164</v>
      </c>
      <c r="C30" s="13" t="s">
        <v>167</v>
      </c>
      <c r="D30" s="5">
        <f>IF($C$28&lt;=150,Datos!G109,"")</f>
        <v>49.68</v>
      </c>
      <c r="E30" s="5" t="str">
        <f>IF(AND(C11=D5,$D$12=$D$14,$C$14=F15),Datos!G66,"")</f>
        <v/>
      </c>
      <c r="F30" s="5" t="str">
        <f>IF(AND(OR($C$13=$D$15,$C$13=$D$16),$C$14=F15,C11=D5),Datos!G70,"")</f>
        <v/>
      </c>
      <c r="G30" s="5" t="str">
        <f>IF(AND(C11=D6,$D12=$D$14,$C$14=F15),Datos!G34,"")</f>
        <v/>
      </c>
      <c r="H30" s="5" t="str">
        <f>IF(AND(OR($C$13=$D$15,$C$13=$D$16),$C$14=F15,C11=D6),Datos!G40,"")</f>
        <v/>
      </c>
      <c r="I30" s="5"/>
      <c r="J30" s="9" t="s">
        <v>169</v>
      </c>
      <c r="K30" s="46"/>
      <c r="L30" s="22">
        <f>IF(OR(C30=A37,AND(C30=A36,C31&gt;=2011)),(L4+(M4/6))*L69,0)</f>
        <v>0</v>
      </c>
      <c r="M30" s="11">
        <v>0</v>
      </c>
      <c r="P30" s="5"/>
      <c r="Q30" s="5"/>
      <c r="R30" s="5"/>
      <c r="S30" s="5"/>
      <c r="T30" s="5"/>
      <c r="U30" s="5"/>
      <c r="V30" s="5"/>
      <c r="W30" s="5"/>
    </row>
    <row r="31" spans="1:29" ht="14.65" thickBot="1" x14ac:dyDescent="0.5">
      <c r="A31" s="5"/>
      <c r="B31" s="27" t="str">
        <f>IF(C30=A36,"¿En qué año aprobaste la oposición?","")</f>
        <v/>
      </c>
      <c r="C31" s="20"/>
      <c r="D31" s="5">
        <f>IF($C$28&lt;=200,Datos!G110,"")</f>
        <v>66.239999999999995</v>
      </c>
      <c r="E31" s="5" t="str">
        <f>IF(AND(C11=D5,$D$12=$D$14,$C$14=F16),Datos!G67,"")</f>
        <v/>
      </c>
      <c r="F31" s="5" t="str">
        <f>IF(AND(OR($C$13=$D$15,$C$13=$D$16),$C$14=F16,C11=D5),Datos!G71,"")</f>
        <v/>
      </c>
      <c r="G31" s="5" t="str">
        <f>IF(AND(C11=D6,$D12=$D$14,$C$14=F13),Datos!G35,"")</f>
        <v/>
      </c>
      <c r="H31" s="5" t="str">
        <f>IF(AND(OR($C$13=$D$15,$C$13=$D$16),$C$14=F16,C11=D6),Datos!G41,"")</f>
        <v/>
      </c>
      <c r="I31" s="5"/>
      <c r="J31" s="9" t="s">
        <v>170</v>
      </c>
      <c r="K31" s="46"/>
      <c r="L31" s="53">
        <f>IF(C30=A38,L4*0.0647+M4*0.0647/6,0)</f>
        <v>208.66763633333332</v>
      </c>
      <c r="M31" s="11">
        <v>0</v>
      </c>
      <c r="P31" s="5"/>
      <c r="Q31" s="5"/>
      <c r="R31" s="5"/>
      <c r="S31" s="5"/>
      <c r="T31" s="5"/>
      <c r="U31" s="5"/>
      <c r="V31" s="5"/>
      <c r="W31" s="5"/>
    </row>
    <row r="32" spans="1:29" ht="14.65" thickBot="1" x14ac:dyDescent="0.5">
      <c r="A32" s="5"/>
      <c r="B32" s="166" t="s">
        <v>175</v>
      </c>
      <c r="C32" s="167"/>
      <c r="D32" s="5">
        <f>IF($C$28&lt;=250,Datos!G111,"")</f>
        <v>82.8</v>
      </c>
      <c r="E32" s="5" t="str">
        <f>IF(AND($C$13=$D$14,$C$15&lt;&gt;"",$C$15&lt;&gt;$G$13,$C$14=F17),Datos!G36,"")</f>
        <v/>
      </c>
      <c r="F32" s="5"/>
      <c r="G32" s="5" t="str">
        <f>IF(AND(C11=D6,$D12=$D$14,$C$14=F16),Datos!G36,"")</f>
        <v/>
      </c>
      <c r="H32" s="5" t="str">
        <f>IF(AND(OR($C$13=$D$15,$C$13=$D$16),$C$14=F17,C11=D6),Datos!G42,"")</f>
        <v/>
      </c>
      <c r="I32" s="5"/>
      <c r="J32" s="16" t="s">
        <v>171</v>
      </c>
      <c r="K32" s="55">
        <f>L62</f>
        <v>0.21256578750179578</v>
      </c>
      <c r="L32" s="54">
        <f>L4*K32</f>
        <v>602.74729572434205</v>
      </c>
      <c r="M32" s="57">
        <f>M4*K32</f>
        <v>496.86402565394758</v>
      </c>
      <c r="O32" s="5"/>
      <c r="P32" s="5"/>
      <c r="Q32" s="5"/>
      <c r="R32" s="5"/>
      <c r="S32" s="5"/>
      <c r="T32" s="5"/>
      <c r="U32" s="5"/>
      <c r="V32" s="5"/>
      <c r="W32" s="5"/>
    </row>
    <row r="33" spans="1:23" ht="14.65" thickBot="1" x14ac:dyDescent="0.5">
      <c r="A33" s="5"/>
      <c r="B33" s="27" t="s">
        <v>177</v>
      </c>
      <c r="C33" s="20" t="s">
        <v>144</v>
      </c>
      <c r="D33" s="5">
        <f>IF($C$28&lt;=300,Datos!G112,"")</f>
        <v>99.36</v>
      </c>
      <c r="E33" s="5" t="str">
        <f>IF(AND($C$13=$D$14,$C$15&lt;&gt;"",$C$15&lt;&gt;$G$13,$C$14=F18),Datos!G37,"")</f>
        <v/>
      </c>
      <c r="F33" s="5"/>
      <c r="G33" s="5" t="str">
        <f>IF(AND(C11=D6,$D12=$D$14,$C$14=F17),Datos!G37,"")</f>
        <v/>
      </c>
      <c r="H33" s="5"/>
      <c r="I33" s="5"/>
      <c r="O33" s="5" t="s">
        <v>182</v>
      </c>
      <c r="P33" s="5"/>
      <c r="Q33" s="5"/>
      <c r="R33" s="5"/>
      <c r="S33" s="5"/>
      <c r="T33" s="5"/>
      <c r="U33" s="5"/>
      <c r="V33" s="5"/>
      <c r="W33" s="5"/>
    </row>
    <row r="34" spans="1:23" ht="14.65" thickBot="1" x14ac:dyDescent="0.5">
      <c r="A34" s="5"/>
      <c r="B34" s="27" t="s">
        <v>197</v>
      </c>
      <c r="C34" s="148">
        <v>0</v>
      </c>
      <c r="D34" s="5">
        <f>IF($C$28&lt;=350,Datos!G113,"")</f>
        <v>115.92</v>
      </c>
      <c r="E34" s="5"/>
      <c r="F34" s="5" t="str">
        <f>IF(AND(OR($C$13=$D$15,$C$13=$D$16),$C$15&lt;&gt;"",$C$15&lt;&gt;$G$13,$C$14=F19),Datos!G44,"")</f>
        <v/>
      </c>
      <c r="G34" s="5" t="str">
        <f>IF(AND(C11=D6,$D12=$D$14,$C$14=F18),Datos!G38,"")</f>
        <v/>
      </c>
      <c r="H34" s="5"/>
      <c r="I34" s="5"/>
      <c r="J34" s="25"/>
      <c r="K34" s="25"/>
      <c r="L34" s="25"/>
      <c r="M34" s="25"/>
      <c r="O34" s="5" t="s">
        <v>183</v>
      </c>
      <c r="P34" s="5">
        <v>2400</v>
      </c>
      <c r="Q34" s="5">
        <v>2400</v>
      </c>
      <c r="R34" s="5"/>
      <c r="S34" s="5"/>
      <c r="T34" s="5"/>
      <c r="U34" s="5"/>
      <c r="V34" s="5"/>
      <c r="W34" s="5"/>
    </row>
    <row r="35" spans="1:23" ht="14.65" thickBot="1" x14ac:dyDescent="0.5">
      <c r="A35" s="5"/>
      <c r="B35" s="27" t="s">
        <v>196</v>
      </c>
      <c r="C35" s="148">
        <v>0</v>
      </c>
      <c r="D35" s="5">
        <f>IF($C$28&lt;=450,Datos!G114,"")</f>
        <v>132.47999999999999</v>
      </c>
      <c r="E35" s="5"/>
      <c r="F35" s="5"/>
      <c r="G35" s="5"/>
      <c r="H35" s="5"/>
      <c r="I35" s="5"/>
      <c r="J35" s="85" t="s">
        <v>173</v>
      </c>
      <c r="K35" s="86"/>
      <c r="L35" s="87"/>
      <c r="M35" s="25"/>
      <c r="O35" s="5" t="s">
        <v>184</v>
      </c>
      <c r="P35" s="5">
        <v>2700</v>
      </c>
      <c r="Q35" s="5">
        <f>Q34+P35</f>
        <v>5100</v>
      </c>
      <c r="R35" s="5"/>
      <c r="S35" s="5"/>
      <c r="T35" s="5"/>
      <c r="U35" s="5"/>
      <c r="V35" s="5"/>
      <c r="W35" s="5"/>
    </row>
    <row r="36" spans="1:23" ht="14.65" thickBot="1" x14ac:dyDescent="0.5">
      <c r="A36" s="5" t="s">
        <v>165</v>
      </c>
      <c r="B36" s="28" t="s">
        <v>180</v>
      </c>
      <c r="C36" s="20">
        <v>0</v>
      </c>
      <c r="D36" s="5">
        <f>IF($C$28&lt;=450,Datos!G115,"")</f>
        <v>149.04</v>
      </c>
      <c r="E36" s="5"/>
      <c r="F36" s="5"/>
      <c r="G36" s="5"/>
      <c r="H36" s="5"/>
      <c r="I36" s="5"/>
      <c r="J36" s="42" t="s">
        <v>174</v>
      </c>
      <c r="K36" s="43"/>
      <c r="L36" s="81">
        <f>L4*12+M4*2</f>
        <v>38701.879999999997</v>
      </c>
      <c r="O36" s="5" t="s">
        <v>185</v>
      </c>
      <c r="P36" s="5">
        <v>4000</v>
      </c>
      <c r="Q36" s="5">
        <f>Q35+P36</f>
        <v>9100</v>
      </c>
      <c r="R36" s="5"/>
      <c r="S36" s="5"/>
      <c r="T36" s="5"/>
      <c r="U36" s="5"/>
      <c r="V36" s="5"/>
      <c r="W36" s="5"/>
    </row>
    <row r="37" spans="1:23" ht="14.75" customHeight="1" thickBot="1" x14ac:dyDescent="0.5">
      <c r="A37" s="5" t="s">
        <v>166</v>
      </c>
      <c r="B37" s="27" t="s">
        <v>179</v>
      </c>
      <c r="C37" s="20">
        <v>0</v>
      </c>
      <c r="D37" s="5">
        <f>IF($C$28&lt;=1000050,Datos!G116,"")</f>
        <v>165.6</v>
      </c>
      <c r="E37" s="5"/>
      <c r="F37" s="5"/>
      <c r="G37" s="5"/>
      <c r="H37" s="5"/>
      <c r="I37" s="5"/>
      <c r="J37" s="9" t="s">
        <v>265</v>
      </c>
      <c r="K37" s="10"/>
      <c r="L37" s="11">
        <f>IF(AND(C48="Sí",L36&lt;33007.2),TRUNC(L36*0.02),0)</f>
        <v>0</v>
      </c>
      <c r="M37" s="24"/>
      <c r="N37" s="24"/>
      <c r="O37" s="5" t="s">
        <v>186</v>
      </c>
      <c r="P37" s="5">
        <v>4500</v>
      </c>
      <c r="Q37" s="5"/>
      <c r="R37" s="5"/>
      <c r="S37" s="5"/>
      <c r="T37" s="5"/>
      <c r="U37" s="5"/>
      <c r="V37" s="5"/>
      <c r="W37" s="5"/>
    </row>
    <row r="38" spans="1:23" ht="14.75" customHeight="1" thickBot="1" x14ac:dyDescent="0.5">
      <c r="A38" s="5" t="s">
        <v>167</v>
      </c>
      <c r="B38" s="29" t="s">
        <v>202</v>
      </c>
      <c r="C38" s="20" t="s">
        <v>144</v>
      </c>
      <c r="D38" s="5" t="str">
        <f>IF(B70=A69,"Sí","No")</f>
        <v>Sí</v>
      </c>
      <c r="E38" s="5"/>
      <c r="F38" s="5"/>
      <c r="G38" s="5"/>
      <c r="H38" s="5"/>
      <c r="I38" s="5"/>
      <c r="J38" s="9" t="s">
        <v>271</v>
      </c>
      <c r="K38" s="10"/>
      <c r="L38" s="11">
        <f>IF(L36-L39&lt;14047.5,6498,IF(L36-L39&lt;19747.5,6498-(1.14*(L36-L39-14047.5)),0))</f>
        <v>0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4.75" customHeight="1" thickBot="1" x14ac:dyDescent="0.5">
      <c r="A39" s="5" t="s">
        <v>188</v>
      </c>
      <c r="B39" s="27" t="s">
        <v>187</v>
      </c>
      <c r="C39" s="20" t="s">
        <v>188</v>
      </c>
      <c r="D39" s="5"/>
      <c r="E39" s="5"/>
      <c r="F39" s="5"/>
      <c r="G39" s="5"/>
      <c r="H39" s="5"/>
      <c r="I39" s="5"/>
      <c r="J39" s="42" t="s">
        <v>242</v>
      </c>
      <c r="K39" s="43"/>
      <c r="L39" s="81">
        <f>SUM(L27:L30)*14+SUM(M27:M30)*2</f>
        <v>0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4.75" customHeight="1" thickBot="1" x14ac:dyDescent="0.5">
      <c r="A40" s="5" t="s">
        <v>190</v>
      </c>
      <c r="B40" s="29" t="s">
        <v>195</v>
      </c>
      <c r="C40" s="20" t="s">
        <v>144</v>
      </c>
      <c r="D40" s="5"/>
      <c r="E40" s="5"/>
      <c r="F40" s="5"/>
      <c r="G40" s="5"/>
      <c r="H40" s="5"/>
      <c r="I40" s="5"/>
      <c r="J40" s="42" t="s">
        <v>247</v>
      </c>
      <c r="K40" s="43"/>
      <c r="L40" s="81">
        <f>C34+2000+M41</f>
        <v>2000</v>
      </c>
      <c r="M40" s="5"/>
      <c r="N40" s="5"/>
      <c r="O40" s="24"/>
      <c r="P40" s="5"/>
      <c r="Q40" s="5"/>
      <c r="R40" s="5"/>
      <c r="S40" s="5"/>
      <c r="T40" s="5"/>
      <c r="U40" s="5"/>
      <c r="V40" s="5"/>
      <c r="W40" s="5"/>
    </row>
    <row r="41" spans="1:23" ht="14.75" customHeight="1" thickBot="1" x14ac:dyDescent="0.5">
      <c r="A41" s="5" t="s">
        <v>189</v>
      </c>
      <c r="B41" s="27" t="s">
        <v>198</v>
      </c>
      <c r="C41" s="20">
        <v>0</v>
      </c>
      <c r="D41" s="5"/>
      <c r="E41" s="5"/>
      <c r="F41" s="5"/>
      <c r="G41" s="5"/>
      <c r="H41" s="5"/>
      <c r="I41" s="5"/>
      <c r="J41" s="42" t="s">
        <v>176</v>
      </c>
      <c r="K41" s="43"/>
      <c r="L41" s="81">
        <f>IF(C33="Sí",1150+5550,5550)</f>
        <v>5550</v>
      </c>
      <c r="M41" s="5">
        <f>IF(AND(C39=A42,C40="No"),3500,IF(OR(C39=A41,C39=A42),7750,0))</f>
        <v>0</v>
      </c>
      <c r="N41" s="5"/>
      <c r="O41" s="24"/>
      <c r="P41" s="5"/>
      <c r="Q41" s="5"/>
      <c r="R41" s="5"/>
      <c r="S41" s="5"/>
      <c r="T41" s="5"/>
      <c r="U41" s="5"/>
      <c r="V41" s="5"/>
      <c r="W41" s="5"/>
    </row>
    <row r="42" spans="1:23" ht="14.75" customHeight="1" x14ac:dyDescent="0.45">
      <c r="A42" s="5" t="s">
        <v>191</v>
      </c>
      <c r="B42" s="168" t="s">
        <v>213</v>
      </c>
      <c r="C42" s="170">
        <v>0</v>
      </c>
      <c r="D42" s="5"/>
      <c r="E42" s="5"/>
      <c r="F42" s="5"/>
      <c r="G42" s="5"/>
      <c r="H42" s="5"/>
      <c r="I42" s="5"/>
      <c r="J42" s="42" t="s">
        <v>178</v>
      </c>
      <c r="K42" s="43"/>
      <c r="L42" s="81">
        <f>SUM(C71:C74)</f>
        <v>0</v>
      </c>
      <c r="M42" s="5"/>
      <c r="N42" s="5"/>
      <c r="O42" s="24"/>
      <c r="P42" s="5"/>
      <c r="Q42" s="5"/>
      <c r="R42" s="5"/>
      <c r="S42" s="5"/>
      <c r="T42" s="5"/>
      <c r="U42" s="5"/>
      <c r="V42" s="5"/>
      <c r="W42" s="5"/>
    </row>
    <row r="43" spans="1:23" ht="14.75" customHeight="1" x14ac:dyDescent="0.45">
      <c r="A43" s="5"/>
      <c r="B43" s="168"/>
      <c r="C43" s="171"/>
      <c r="D43" s="5"/>
      <c r="E43" s="5"/>
      <c r="F43" s="5"/>
      <c r="G43" s="5"/>
      <c r="H43" s="5"/>
      <c r="I43" s="5"/>
      <c r="J43" s="42" t="s">
        <v>181</v>
      </c>
      <c r="K43" s="43"/>
      <c r="L43" s="81">
        <f>IF(C38="no",M49/2+1400*C37,M49+2800*C37)</f>
        <v>0</v>
      </c>
      <c r="M43" s="5"/>
      <c r="N43" s="5"/>
      <c r="O43" s="24"/>
      <c r="P43" s="5"/>
      <c r="Q43" s="5"/>
      <c r="R43" s="5"/>
      <c r="S43" s="5"/>
      <c r="T43" s="5"/>
      <c r="U43" s="5"/>
      <c r="V43" s="5"/>
      <c r="W43" s="5"/>
    </row>
    <row r="44" spans="1:23" ht="14.75" customHeight="1" thickBot="1" x14ac:dyDescent="0.5">
      <c r="A44" s="5"/>
      <c r="B44" s="169"/>
      <c r="C44" s="172"/>
      <c r="D44" s="5"/>
      <c r="E44" s="5"/>
      <c r="F44" s="5"/>
      <c r="G44" s="5"/>
      <c r="H44" s="5"/>
      <c r="I44" s="5"/>
      <c r="J44" s="42" t="s">
        <v>192</v>
      </c>
      <c r="K44" s="43"/>
      <c r="L44" s="81">
        <f>IF(C39=A41,9000,IF(C39=A42,3000,0))</f>
        <v>0</v>
      </c>
      <c r="M44" s="5"/>
      <c r="N44" s="5"/>
      <c r="O44" s="24"/>
      <c r="P44" s="5"/>
      <c r="Q44" s="5"/>
      <c r="R44" s="5"/>
      <c r="S44" s="5"/>
      <c r="T44" s="5"/>
      <c r="U44" s="5"/>
      <c r="V44" s="5"/>
      <c r="W44" s="5"/>
    </row>
    <row r="45" spans="1:23" ht="14.75" customHeight="1" x14ac:dyDescent="0.45">
      <c r="A45" s="5"/>
      <c r="B45" s="173" t="s">
        <v>213</v>
      </c>
      <c r="C45" s="170">
        <v>0</v>
      </c>
      <c r="D45" s="5"/>
      <c r="E45" s="5"/>
      <c r="F45" s="5"/>
      <c r="G45" s="5"/>
      <c r="H45" s="5"/>
      <c r="I45" s="5"/>
      <c r="J45" s="42" t="s">
        <v>193</v>
      </c>
      <c r="K45" s="43"/>
      <c r="L45" s="81">
        <f>SUM(C75:C78)</f>
        <v>0</v>
      </c>
      <c r="M45" s="5"/>
      <c r="N45" s="5"/>
      <c r="O45" s="24"/>
      <c r="P45" s="5"/>
      <c r="Q45" s="5"/>
      <c r="R45" s="5"/>
      <c r="S45" s="5"/>
      <c r="T45" s="5"/>
      <c r="U45" s="5"/>
      <c r="V45" s="5"/>
      <c r="W45" s="5"/>
    </row>
    <row r="46" spans="1:23" ht="14.75" customHeight="1" x14ac:dyDescent="0.45">
      <c r="A46" s="5"/>
      <c r="B46" s="168"/>
      <c r="C46" s="171"/>
      <c r="D46" s="5"/>
      <c r="E46" s="5"/>
      <c r="F46" s="5"/>
      <c r="G46" s="5"/>
      <c r="H46" s="5"/>
      <c r="I46" s="5"/>
      <c r="J46" s="42" t="s">
        <v>194</v>
      </c>
      <c r="K46" s="43"/>
      <c r="L46" s="81">
        <f>IF(C38="Sí",M51,M51/2)</f>
        <v>0</v>
      </c>
      <c r="M46" s="5"/>
      <c r="N46" s="5"/>
      <c r="O46" s="24"/>
      <c r="P46" s="5"/>
      <c r="Q46" s="5"/>
      <c r="R46" s="5"/>
      <c r="S46" s="5"/>
      <c r="T46" s="5"/>
      <c r="U46" s="5"/>
      <c r="V46" s="5"/>
      <c r="W46" s="5"/>
    </row>
    <row r="47" spans="1:23" ht="14.75" customHeight="1" thickBot="1" x14ac:dyDescent="0.5">
      <c r="A47" s="5"/>
      <c r="B47" s="169"/>
      <c r="C47" s="172"/>
      <c r="D47" s="5"/>
      <c r="E47" s="5"/>
      <c r="F47" s="5"/>
      <c r="G47" s="5"/>
      <c r="H47" s="5"/>
      <c r="I47" s="5"/>
      <c r="J47" s="42" t="s">
        <v>212</v>
      </c>
      <c r="K47" s="43"/>
      <c r="L47" s="81">
        <f>IF(OR(C40="Sí",C39=A41),3000,0)</f>
        <v>0</v>
      </c>
      <c r="M47" s="5"/>
      <c r="N47" s="5"/>
      <c r="O47" s="24"/>
      <c r="P47" s="5"/>
      <c r="Q47" s="5"/>
      <c r="R47" s="5"/>
      <c r="S47" s="5"/>
      <c r="T47" s="5"/>
      <c r="U47" s="5"/>
      <c r="V47" s="5"/>
      <c r="W47" s="5"/>
    </row>
    <row r="48" spans="1:23" ht="14.75" customHeight="1" thickBot="1" x14ac:dyDescent="0.5">
      <c r="A48" s="24"/>
      <c r="B48" s="27" t="s">
        <v>273</v>
      </c>
      <c r="C48" s="20" t="s">
        <v>144</v>
      </c>
      <c r="D48" s="5"/>
      <c r="E48" s="5"/>
      <c r="F48" s="5"/>
      <c r="G48" s="5"/>
      <c r="H48" s="5"/>
      <c r="I48" s="5"/>
      <c r="J48" s="9" t="s">
        <v>214</v>
      </c>
      <c r="K48" s="10"/>
      <c r="L48" s="11">
        <f>SUM(L41:L47)</f>
        <v>5550</v>
      </c>
      <c r="M48" s="5"/>
      <c r="N48" s="5"/>
      <c r="O48" s="24"/>
      <c r="P48" s="5"/>
      <c r="Q48" s="5"/>
      <c r="R48" s="5"/>
      <c r="S48" s="5"/>
      <c r="T48" s="5"/>
      <c r="U48" s="5"/>
      <c r="V48" s="5"/>
      <c r="W48" s="5"/>
    </row>
    <row r="49" spans="1:23" ht="14.75" customHeight="1" thickBot="1" x14ac:dyDescent="0.5">
      <c r="A49" s="24"/>
      <c r="B49" s="27" t="s">
        <v>266</v>
      </c>
      <c r="C49" s="149"/>
      <c r="D49" s="5"/>
      <c r="E49" s="5"/>
      <c r="F49" s="5"/>
      <c r="G49" s="5"/>
      <c r="H49" s="5"/>
      <c r="I49" s="5"/>
      <c r="J49" s="9" t="s">
        <v>215</v>
      </c>
      <c r="K49" s="10"/>
      <c r="L49" s="11">
        <f>MAX(0,L36-L39-L40-L38)</f>
        <v>36701.879999999997</v>
      </c>
      <c r="M49" s="5">
        <f>IF(C36=1,Q34,IF(C36=2,Q35,IF(C36=3,Q36,IF(C36&lt;1,0,Q36+4500*(C36-3)))))</f>
        <v>0</v>
      </c>
      <c r="N49" s="5"/>
      <c r="O49" s="24"/>
      <c r="P49" s="5"/>
      <c r="Q49" s="5"/>
      <c r="R49" s="5"/>
      <c r="S49" s="5"/>
      <c r="T49" s="5"/>
      <c r="U49" s="5"/>
      <c r="V49" s="5"/>
      <c r="W49" s="5"/>
    </row>
    <row r="50" spans="1:23" ht="14.75" customHeight="1" thickBot="1" x14ac:dyDescent="0.5">
      <c r="A50" s="24"/>
      <c r="B50" s="30" t="s">
        <v>199</v>
      </c>
      <c r="C50" s="141"/>
      <c r="D50" s="5"/>
      <c r="E50" s="5"/>
      <c r="F50" s="5"/>
      <c r="G50" s="5"/>
      <c r="H50" s="5"/>
      <c r="I50" s="5"/>
      <c r="J50" s="9" t="s">
        <v>216</v>
      </c>
      <c r="K50" s="10"/>
      <c r="L50" s="11">
        <f>IF(L48&gt;12450,0,MAX(0,MIN(12450,L49)-L48))</f>
        <v>6900</v>
      </c>
      <c r="M50" s="5"/>
      <c r="N50" s="5"/>
      <c r="O50" s="24"/>
      <c r="P50" s="5"/>
      <c r="Q50" s="5"/>
      <c r="R50" s="5"/>
      <c r="S50" s="5"/>
      <c r="T50" s="5"/>
      <c r="U50" s="5"/>
      <c r="V50" s="5"/>
      <c r="W50" s="5"/>
    </row>
    <row r="51" spans="1:23" ht="14.75" customHeight="1" thickBot="1" x14ac:dyDescent="0.5">
      <c r="A51" s="24"/>
      <c r="B51" s="30" t="s">
        <v>200</v>
      </c>
      <c r="C51" s="141" t="s">
        <v>188</v>
      </c>
      <c r="D51" s="5"/>
      <c r="E51" s="5"/>
      <c r="F51" s="5"/>
      <c r="G51" s="5"/>
      <c r="H51" s="5"/>
      <c r="I51" s="5"/>
      <c r="J51" s="9" t="s">
        <v>217</v>
      </c>
      <c r="K51" s="10"/>
      <c r="L51" s="11">
        <f>IF(IF(L48&gt;20200,0,IF(L49&gt;20200,MIN(20200-L48,20200-12450),MIN(L49-L48,L49-12450)))&lt;0,0,IF(L48&gt;20200,0,IF(L49&gt;20200,MIN(20200-L48,20200-12450),MIN(L49-L48,L49-12450))))</f>
        <v>7750</v>
      </c>
      <c r="M51" s="5">
        <f>C41*12000+C42*6000+C45*3000</f>
        <v>0</v>
      </c>
      <c r="N51" s="5"/>
      <c r="O51" s="24"/>
      <c r="P51" s="5"/>
      <c r="Q51" s="5"/>
      <c r="R51" s="5"/>
      <c r="S51" s="5"/>
      <c r="T51" s="5"/>
      <c r="U51" s="5"/>
      <c r="V51" s="5"/>
      <c r="W51" s="5"/>
    </row>
    <row r="52" spans="1:23" ht="14.75" customHeight="1" thickBot="1" x14ac:dyDescent="0.5">
      <c r="A52" s="24"/>
      <c r="B52" s="30" t="s">
        <v>207</v>
      </c>
      <c r="C52" s="20" t="s">
        <v>144</v>
      </c>
      <c r="D52" s="5"/>
      <c r="E52" s="5"/>
      <c r="F52" s="5"/>
      <c r="G52" s="5"/>
      <c r="H52" s="5"/>
      <c r="I52" s="5"/>
      <c r="J52" s="9" t="s">
        <v>218</v>
      </c>
      <c r="K52" s="10"/>
      <c r="L52" s="11">
        <f>IF(IF(L48&gt;35200,0,IF(L49&gt;35200,MIN(35200-L48,35200-20200),MIN(L49-L48,L49-20200)))&lt;0,0,IF(L48&gt;35200,0,IF(L49&gt;35200,MIN(35200-L48,35200-20200),MIN(L49-L48,L49-20200))))</f>
        <v>15000</v>
      </c>
      <c r="M52" s="5"/>
      <c r="N52" s="5"/>
      <c r="O52" s="24"/>
      <c r="P52" s="5"/>
      <c r="Q52" s="5"/>
      <c r="R52" s="5"/>
      <c r="S52" s="5"/>
      <c r="T52" s="5"/>
      <c r="U52" s="5"/>
      <c r="V52" s="5"/>
      <c r="W52" s="5"/>
    </row>
    <row r="53" spans="1:23" ht="14.75" customHeight="1" thickBot="1" x14ac:dyDescent="0.5">
      <c r="A53" s="5"/>
      <c r="B53" s="31" t="s">
        <v>201</v>
      </c>
      <c r="C53" s="141"/>
      <c r="D53" s="5"/>
      <c r="E53" s="5"/>
      <c r="F53" s="5"/>
      <c r="G53" s="5"/>
      <c r="H53" s="5"/>
      <c r="I53" s="5"/>
      <c r="J53" s="9" t="s">
        <v>219</v>
      </c>
      <c r="K53" s="10"/>
      <c r="L53" s="11">
        <f>IF(IF(L48&gt;60000,0,IF(L49&gt;60000,MIN(35200-L48,60000-35200),MIN(L49-L48,L49-35200)))&lt;0,0,IF(L48&gt;60000,0,IF(L49&gt;60000,MIN(35200-L48,60000-35200),MIN(L49-L48,L49-35200))))</f>
        <v>1501.8799999999974</v>
      </c>
      <c r="M53" s="5"/>
      <c r="N53" s="5"/>
      <c r="O53" s="24"/>
      <c r="P53" s="5"/>
      <c r="Q53" s="5"/>
      <c r="R53" s="5"/>
      <c r="S53" s="5"/>
      <c r="T53" s="5"/>
      <c r="U53" s="5"/>
      <c r="V53" s="5"/>
      <c r="W53" s="5"/>
    </row>
    <row r="54" spans="1:23" ht="14.75" customHeight="1" thickBot="1" x14ac:dyDescent="0.5">
      <c r="A54" s="5"/>
      <c r="B54" s="27" t="s">
        <v>267</v>
      </c>
      <c r="C54" s="149"/>
      <c r="H54" s="5"/>
      <c r="I54" s="5"/>
      <c r="J54" s="9" t="s">
        <v>220</v>
      </c>
      <c r="K54" s="10"/>
      <c r="L54" s="11">
        <f>IF(IF(L48&gt;30000,0,IF(L49&gt;300000,MIN(60000-L48,300000-60000),MIN(L49-L48,L49-60000)))&lt;0,0,IF(L48&gt;30000,0,IF(L49&gt;300000,MIN(60000-L48,300000-60000),MIN(L49-L48,L49-60000))))</f>
        <v>0</v>
      </c>
      <c r="M54" s="5"/>
      <c r="N54" s="5"/>
      <c r="O54" s="24"/>
      <c r="P54" s="5"/>
      <c r="Q54" s="5"/>
      <c r="R54" s="5"/>
      <c r="S54" s="5"/>
      <c r="T54" s="5"/>
      <c r="U54" s="5"/>
      <c r="V54" s="5"/>
      <c r="W54" s="5"/>
    </row>
    <row r="55" spans="1:23" ht="14.75" customHeight="1" thickBot="1" x14ac:dyDescent="0.5">
      <c r="A55" s="5"/>
      <c r="B55" s="30" t="s">
        <v>199</v>
      </c>
      <c r="C55" s="141"/>
      <c r="H55" s="5"/>
      <c r="I55" s="5"/>
      <c r="J55" s="9" t="s">
        <v>221</v>
      </c>
      <c r="K55" s="10"/>
      <c r="L55" s="11">
        <f>ROUND(L50*0.19,2)</f>
        <v>1311</v>
      </c>
      <c r="M55" s="5"/>
      <c r="N55" s="5"/>
      <c r="O55" s="24"/>
      <c r="P55" s="5"/>
      <c r="Q55" s="5"/>
      <c r="R55" s="5"/>
      <c r="S55" s="5"/>
      <c r="T55" s="5"/>
      <c r="U55" s="5"/>
      <c r="V55" s="5"/>
      <c r="W55" s="5"/>
    </row>
    <row r="56" spans="1:23" ht="14.75" customHeight="1" thickBot="1" x14ac:dyDescent="0.5">
      <c r="A56" s="5"/>
      <c r="B56" s="30" t="s">
        <v>200</v>
      </c>
      <c r="C56" s="141" t="s">
        <v>188</v>
      </c>
      <c r="G56" s="5"/>
      <c r="H56" s="5"/>
      <c r="I56" s="5"/>
      <c r="J56" s="9" t="s">
        <v>222</v>
      </c>
      <c r="K56" s="10"/>
      <c r="L56" s="11">
        <f>ROUND(L51*0.24,2)</f>
        <v>1860</v>
      </c>
      <c r="M56" s="5"/>
      <c r="N56" s="5"/>
      <c r="P56" s="5"/>
      <c r="Q56" s="5"/>
      <c r="R56" s="5"/>
      <c r="S56" s="5"/>
      <c r="T56" s="5"/>
      <c r="U56" s="5"/>
      <c r="V56" s="5"/>
      <c r="W56" s="5"/>
    </row>
    <row r="57" spans="1:23" ht="14.75" customHeight="1" thickBot="1" x14ac:dyDescent="0.5">
      <c r="A57" s="5"/>
      <c r="B57" s="30" t="s">
        <v>207</v>
      </c>
      <c r="C57" s="20" t="s">
        <v>144</v>
      </c>
      <c r="G57" s="5"/>
      <c r="H57" s="5"/>
      <c r="I57" s="5"/>
      <c r="J57" s="9" t="s">
        <v>223</v>
      </c>
      <c r="K57" s="10"/>
      <c r="L57" s="11">
        <f>ROUND(L52*0.3,2)</f>
        <v>4500</v>
      </c>
      <c r="M57" s="5"/>
      <c r="N57" s="5"/>
      <c r="P57" s="5"/>
      <c r="Q57" s="5"/>
      <c r="R57" s="5"/>
      <c r="S57" s="5"/>
      <c r="T57" s="5"/>
      <c r="U57" s="5"/>
      <c r="V57" s="5"/>
      <c r="W57" s="5"/>
    </row>
    <row r="58" spans="1:23" ht="14.75" customHeight="1" thickBot="1" x14ac:dyDescent="0.5">
      <c r="A58" s="5"/>
      <c r="B58" s="31" t="s">
        <v>201</v>
      </c>
      <c r="C58" s="141"/>
      <c r="G58" s="5"/>
      <c r="H58" s="5"/>
      <c r="I58" s="5"/>
      <c r="J58" s="9" t="s">
        <v>224</v>
      </c>
      <c r="K58" s="10"/>
      <c r="L58" s="11">
        <f>ROUND(L53*0.37,2)</f>
        <v>555.70000000000005</v>
      </c>
      <c r="P58" s="5"/>
      <c r="Q58" s="5"/>
      <c r="R58" s="5"/>
      <c r="S58" s="5"/>
      <c r="T58" s="5"/>
      <c r="U58" s="5"/>
      <c r="V58" s="5"/>
      <c r="W58" s="5"/>
    </row>
    <row r="59" spans="1:23" ht="14.65" thickBot="1" x14ac:dyDescent="0.5">
      <c r="A59" s="5"/>
      <c r="B59" s="27" t="s">
        <v>268</v>
      </c>
      <c r="C59" s="149"/>
      <c r="G59" s="5"/>
      <c r="H59" s="5"/>
      <c r="I59" s="5"/>
      <c r="J59" s="9" t="s">
        <v>225</v>
      </c>
      <c r="K59" s="10"/>
      <c r="L59" s="11">
        <f>ROUND(L54*0.45,2)</f>
        <v>0</v>
      </c>
      <c r="P59" s="5"/>
      <c r="Q59" s="5"/>
      <c r="R59" s="5"/>
      <c r="S59" s="5"/>
      <c r="T59" s="5"/>
      <c r="U59" s="5"/>
      <c r="V59" s="5"/>
      <c r="W59" s="5"/>
    </row>
    <row r="60" spans="1:23" ht="14.65" thickBot="1" x14ac:dyDescent="0.5">
      <c r="A60" s="5"/>
      <c r="B60" s="30" t="s">
        <v>199</v>
      </c>
      <c r="C60" s="141"/>
      <c r="G60" s="5"/>
      <c r="H60" s="5"/>
      <c r="I60" s="5"/>
      <c r="J60" s="9" t="s">
        <v>272</v>
      </c>
      <c r="K60" s="10"/>
      <c r="L60" s="56">
        <f>SUM(L55:L59)</f>
        <v>8226.7000000000007</v>
      </c>
      <c r="P60" s="5"/>
      <c r="Q60" s="5"/>
      <c r="R60" s="5"/>
      <c r="S60" s="5"/>
      <c r="T60" s="5"/>
      <c r="U60" s="5"/>
      <c r="V60" s="5"/>
      <c r="W60" s="5"/>
    </row>
    <row r="61" spans="1:23" ht="14.65" thickBot="1" x14ac:dyDescent="0.5">
      <c r="A61" s="5"/>
      <c r="B61" s="30" t="s">
        <v>200</v>
      </c>
      <c r="C61" s="141" t="s">
        <v>188</v>
      </c>
      <c r="G61" s="5"/>
      <c r="H61" s="5"/>
      <c r="I61" s="5"/>
      <c r="J61" s="9" t="s">
        <v>270</v>
      </c>
      <c r="K61" s="10"/>
      <c r="L61" s="56">
        <f>MAX(0,C130-L37)</f>
        <v>8226.6955999999991</v>
      </c>
      <c r="P61" s="5"/>
      <c r="Q61" s="5"/>
      <c r="R61" s="5"/>
      <c r="S61" s="5"/>
      <c r="T61" s="5"/>
      <c r="U61" s="5"/>
      <c r="V61" s="5"/>
      <c r="W61" s="5"/>
    </row>
    <row r="62" spans="1:23" ht="14.65" thickBot="1" x14ac:dyDescent="0.5">
      <c r="A62" s="5"/>
      <c r="B62" s="32" t="s">
        <v>207</v>
      </c>
      <c r="C62" s="20" t="s">
        <v>144</v>
      </c>
      <c r="G62" s="5"/>
      <c r="H62" s="5"/>
      <c r="I62" s="5"/>
      <c r="J62" s="91" t="s">
        <v>226</v>
      </c>
      <c r="K62" s="92"/>
      <c r="L62" s="93">
        <f>IF(M62&lt;0.02,0.02,M62)</f>
        <v>0.21256578750179578</v>
      </c>
      <c r="M62" s="5">
        <f>IF(L61&lt;L60,L61/L36,L60/L36)</f>
        <v>0.21256578750179578</v>
      </c>
    </row>
    <row r="63" spans="1:23" ht="14.65" thickBot="1" x14ac:dyDescent="0.5">
      <c r="A63" s="5"/>
      <c r="B63" s="31" t="s">
        <v>201</v>
      </c>
      <c r="C63" s="141"/>
      <c r="G63" s="5"/>
      <c r="H63" s="5"/>
      <c r="I63" s="5"/>
    </row>
    <row r="64" spans="1:23" ht="14.65" thickBot="1" x14ac:dyDescent="0.5">
      <c r="A64" s="5"/>
      <c r="B64" s="27" t="s">
        <v>269</v>
      </c>
      <c r="C64" s="149"/>
      <c r="G64" s="5"/>
      <c r="H64" s="5"/>
      <c r="I64" s="5"/>
      <c r="J64" s="85" t="s">
        <v>228</v>
      </c>
      <c r="K64" s="88"/>
      <c r="L64" s="89"/>
    </row>
    <row r="65" spans="1:12" ht="14.65" thickBot="1" x14ac:dyDescent="0.5">
      <c r="A65" s="5"/>
      <c r="B65" s="30" t="s">
        <v>199</v>
      </c>
      <c r="C65" s="141"/>
      <c r="G65" s="5"/>
      <c r="H65" s="5"/>
      <c r="I65" s="5"/>
      <c r="J65" s="9" t="s">
        <v>230</v>
      </c>
      <c r="K65" s="7"/>
      <c r="L65" s="82">
        <v>4.7E-2</v>
      </c>
    </row>
    <row r="66" spans="1:12" ht="14.65" thickBot="1" x14ac:dyDescent="0.5">
      <c r="A66" s="5"/>
      <c r="B66" s="30" t="s">
        <v>200</v>
      </c>
      <c r="C66" s="141" t="s">
        <v>188</v>
      </c>
      <c r="G66" s="5"/>
      <c r="H66" s="5"/>
      <c r="I66" s="5"/>
      <c r="J66" s="9" t="s">
        <v>231</v>
      </c>
      <c r="K66" s="7"/>
      <c r="L66" s="82">
        <v>1.1999999999999999E-3</v>
      </c>
    </row>
    <row r="67" spans="1:12" ht="14.65" thickBot="1" x14ac:dyDescent="0.5">
      <c r="A67" s="5"/>
      <c r="B67" s="32" t="s">
        <v>207</v>
      </c>
      <c r="C67" s="20" t="s">
        <v>144</v>
      </c>
      <c r="G67" s="5"/>
      <c r="H67" s="5"/>
      <c r="I67" s="5"/>
      <c r="J67" s="9" t="s">
        <v>236</v>
      </c>
      <c r="K67" s="7"/>
      <c r="L67" s="82">
        <v>0.28299999999999997</v>
      </c>
    </row>
    <row r="68" spans="1:12" ht="14.65" thickBot="1" x14ac:dyDescent="0.5">
      <c r="A68" s="5"/>
      <c r="B68" s="32" t="s">
        <v>201</v>
      </c>
      <c r="C68" s="141"/>
      <c r="G68" s="5"/>
      <c r="H68" s="5"/>
      <c r="I68" s="5"/>
      <c r="J68" s="9" t="s">
        <v>235</v>
      </c>
      <c r="K68" s="7"/>
      <c r="L68" s="46">
        <v>1.0999999999999999E-2</v>
      </c>
    </row>
    <row r="69" spans="1:12" ht="14.65" thickBot="1" x14ac:dyDescent="0.5">
      <c r="A69" s="35" t="s">
        <v>246</v>
      </c>
      <c r="B69" s="28" t="s">
        <v>243</v>
      </c>
      <c r="C69" s="80">
        <f>IF(B70=A69,1,IF(B70=A70,2,IF(B70=A71,3,0)))</f>
        <v>1</v>
      </c>
      <c r="G69" s="5"/>
      <c r="H69" s="5"/>
      <c r="I69" s="5"/>
      <c r="J69" s="91" t="s">
        <v>234</v>
      </c>
      <c r="K69" s="92"/>
      <c r="L69" s="94">
        <f>L65+L66-(L67*L68)</f>
        <v>4.5087000000000002E-2</v>
      </c>
    </row>
    <row r="70" spans="1:12" ht="42" customHeight="1" thickBot="1" x14ac:dyDescent="0.5">
      <c r="A70" s="35" t="s">
        <v>244</v>
      </c>
      <c r="B70" s="156" t="s">
        <v>246</v>
      </c>
      <c r="C70" s="157"/>
      <c r="G70" s="5"/>
      <c r="H70" s="5"/>
      <c r="I70" s="5"/>
    </row>
    <row r="71" spans="1:12" x14ac:dyDescent="0.45">
      <c r="A71" s="35" t="s">
        <v>245</v>
      </c>
      <c r="B71" s="5" t="s">
        <v>203</v>
      </c>
      <c r="C71" s="5">
        <f>IF(C50&gt;=75,ROUND((1150+1400)/C53,2),IF(C50&gt;=65,ROUND(1150/C53,2),0))</f>
        <v>0</v>
      </c>
      <c r="G71" s="5"/>
      <c r="H71" s="5"/>
      <c r="I71" s="5"/>
      <c r="J71" s="85" t="s">
        <v>229</v>
      </c>
      <c r="K71" s="88"/>
      <c r="L71" s="89"/>
    </row>
    <row r="72" spans="1:12" x14ac:dyDescent="0.45">
      <c r="A72" s="5"/>
      <c r="B72" s="5" t="s">
        <v>204</v>
      </c>
      <c r="C72" s="5">
        <f>IF(C55&gt;=75,ROUND((1150+1400)/C58,2),IF(C55&gt;=65,ROUND(1150/C58,2),0))</f>
        <v>0</v>
      </c>
      <c r="D72" s="5"/>
      <c r="E72" s="5"/>
      <c r="F72" s="5"/>
      <c r="G72" s="5"/>
      <c r="H72" s="5"/>
      <c r="I72" s="5"/>
      <c r="J72" s="9" t="s">
        <v>230</v>
      </c>
      <c r="K72" s="7"/>
      <c r="L72" s="82">
        <v>4.7E-2</v>
      </c>
    </row>
    <row r="73" spans="1:12" x14ac:dyDescent="0.45">
      <c r="A73" s="5"/>
      <c r="B73" s="5" t="s">
        <v>205</v>
      </c>
      <c r="C73" s="5">
        <f>IF(C60&gt;=75,ROUND((1150+1400)/C63,2),IF(C60&gt;=65,ROUND(1150/C63,2),0))</f>
        <v>0</v>
      </c>
      <c r="D73" s="5"/>
      <c r="E73" s="5"/>
      <c r="F73" s="5"/>
      <c r="G73" s="5"/>
      <c r="H73" s="5"/>
      <c r="I73" s="5"/>
      <c r="J73" s="9" t="s">
        <v>231</v>
      </c>
      <c r="K73" s="7"/>
      <c r="L73" s="82">
        <v>1.1999999999999999E-3</v>
      </c>
    </row>
    <row r="74" spans="1:12" x14ac:dyDescent="0.45">
      <c r="A74" s="5"/>
      <c r="B74" s="5" t="s">
        <v>206</v>
      </c>
      <c r="C74" s="5">
        <f>IF(C65&gt;=75,ROUND((1150+1400)/C68,2),IF(C65&gt;=65,ROUND(1150/C68,2),0))</f>
        <v>0</v>
      </c>
      <c r="D74" s="5"/>
      <c r="E74" s="5"/>
      <c r="F74" s="5"/>
      <c r="G74" s="5"/>
      <c r="H74" s="5"/>
      <c r="I74" s="5"/>
      <c r="J74" s="9" t="s">
        <v>232</v>
      </c>
      <c r="K74" s="7"/>
      <c r="L74" s="82">
        <v>1.55E-2</v>
      </c>
    </row>
    <row r="75" spans="1:12" x14ac:dyDescent="0.45">
      <c r="A75" s="25"/>
      <c r="B75" s="5" t="s">
        <v>208</v>
      </c>
      <c r="C75" s="5">
        <f>IF(C50&lt;65,0,IF(C51=A41,ROUND(12000/C53,2),IF(AND(C51=A42,C52="No"),ROUND(3000/C53,2),IF(AND(C51=A42,C52="Sí"),ROUND(6000/C53,2),""))))</f>
        <v>0</v>
      </c>
      <c r="D75" s="5"/>
      <c r="E75" s="5"/>
      <c r="F75" s="5"/>
      <c r="G75" s="5"/>
      <c r="H75" s="5"/>
      <c r="I75" s="5"/>
      <c r="J75" s="9" t="s">
        <v>233</v>
      </c>
      <c r="K75" s="7"/>
      <c r="L75" s="82">
        <v>1E-3</v>
      </c>
    </row>
    <row r="76" spans="1:12" ht="14.65" thickBot="1" x14ac:dyDescent="0.5">
      <c r="A76" s="25"/>
      <c r="B76" s="5" t="s">
        <v>209</v>
      </c>
      <c r="C76" s="5">
        <f>IF(C55&lt;65,0,IF(C56=A41,ROUND(12000/C58,2),IF(AND(C56=A42,C57="No"),ROUND(3000/C58,2),IF(AND(C56=A42,C57="Sí"),ROUND(6000/C58,2),""))))</f>
        <v>0</v>
      </c>
      <c r="D76" s="5"/>
      <c r="E76" s="5"/>
      <c r="F76" s="5"/>
      <c r="G76" s="5"/>
      <c r="H76" s="5"/>
      <c r="I76" s="5"/>
      <c r="J76" s="91" t="s">
        <v>234</v>
      </c>
      <c r="K76" s="92"/>
      <c r="L76" s="93">
        <f>SUM(L72:L75)</f>
        <v>6.4700000000000008E-2</v>
      </c>
    </row>
    <row r="77" spans="1:12" x14ac:dyDescent="0.45">
      <c r="A77" s="25"/>
      <c r="B77" s="5" t="s">
        <v>210</v>
      </c>
      <c r="C77" s="5">
        <f>IF(C60&lt;65,0,IF(C61=A41,ROUND(12000/C63,2),IF(AND(C61=A42,C62="No"),ROUND(3000/C63,2),IF(AND(C61=A42,C62="Sí"),ROUND(6000/C63,2),""))))</f>
        <v>0</v>
      </c>
      <c r="D77" s="5"/>
      <c r="E77" s="5"/>
      <c r="F77" s="5"/>
      <c r="G77" s="5"/>
      <c r="H77" s="5"/>
      <c r="I77" s="5"/>
    </row>
    <row r="78" spans="1:12" x14ac:dyDescent="0.45">
      <c r="A78" s="25"/>
      <c r="B78" s="5" t="s">
        <v>211</v>
      </c>
      <c r="C78" s="5">
        <f>IF(C65&lt;65,0,IF(C66=A41,ROUND(12000/C68,2),IF(AND(C66=A42,C67="No"),ROUND(3000/C68,2),IF(AND(C66=A42,C67="Sí"),ROUND(6000/C68,2),""))))</f>
        <v>0</v>
      </c>
      <c r="D78" s="5"/>
      <c r="E78" s="5"/>
      <c r="F78" s="5"/>
      <c r="G78" s="5"/>
      <c r="H78" s="5"/>
      <c r="I78" s="5"/>
    </row>
    <row r="79" spans="1:12" x14ac:dyDescent="0.45">
      <c r="A79" s="25"/>
      <c r="B79" s="5"/>
      <c r="C79" s="5"/>
      <c r="I79" s="5"/>
    </row>
    <row r="80" spans="1:12" x14ac:dyDescent="0.45">
      <c r="A80" s="25"/>
      <c r="B80" s="5" t="s">
        <v>248</v>
      </c>
      <c r="C80" s="5"/>
      <c r="I80" s="5"/>
    </row>
    <row r="81" spans="1:9" x14ac:dyDescent="0.45">
      <c r="A81" s="25"/>
      <c r="B81" s="5" t="s">
        <v>249</v>
      </c>
      <c r="C81" s="39">
        <f>L49-C35</f>
        <v>36701.879999999997</v>
      </c>
      <c r="I81" s="5"/>
    </row>
    <row r="82" spans="1:9" x14ac:dyDescent="0.45">
      <c r="A82" s="25"/>
      <c r="B82" s="5" t="s">
        <v>250</v>
      </c>
      <c r="C82" s="39">
        <f>C35</f>
        <v>0</v>
      </c>
      <c r="I82" s="5"/>
    </row>
    <row r="83" spans="1:9" x14ac:dyDescent="0.45">
      <c r="A83" s="25"/>
      <c r="B83" s="5" t="s">
        <v>251</v>
      </c>
      <c r="C83" s="40">
        <f>MAX(B85:B90)</f>
        <v>9281.1955999999991</v>
      </c>
      <c r="I83" s="5"/>
    </row>
    <row r="84" spans="1:9" x14ac:dyDescent="0.45">
      <c r="A84" s="25"/>
      <c r="B84" s="5" t="s">
        <v>253</v>
      </c>
      <c r="C84" s="5"/>
      <c r="I84" s="5"/>
    </row>
    <row r="85" spans="1:9" x14ac:dyDescent="0.45">
      <c r="A85" s="25"/>
      <c r="B85" s="5" t="str">
        <f>IF(C81&lt;12450,0+(C81)*0.19,"")</f>
        <v/>
      </c>
      <c r="C85" s="5"/>
      <c r="I85" s="5"/>
    </row>
    <row r="86" spans="1:9" x14ac:dyDescent="0.45">
      <c r="A86" s="25"/>
      <c r="B86" s="5" t="str">
        <f>IF(AND(C81&gt;=12450,C81&lt;20200),2365.5+(C81-12450)*0.24,"")</f>
        <v/>
      </c>
      <c r="C86" s="5"/>
      <c r="I86" s="5"/>
    </row>
    <row r="87" spans="1:9" x14ac:dyDescent="0.45">
      <c r="A87" s="25"/>
      <c r="B87" s="5" t="str">
        <f>IF(AND(C81&gt;=20200,C81&lt;35200),4225.5+(C81-20200)*0.3,"")</f>
        <v/>
      </c>
      <c r="C87" s="5"/>
      <c r="I87" s="5"/>
    </row>
    <row r="88" spans="1:9" x14ac:dyDescent="0.45">
      <c r="A88" s="25"/>
      <c r="B88" s="5">
        <f>IF(AND(C81&gt;=35200,C81&lt;60000),8725.5+(C81-35200)*0.37,"")</f>
        <v>9281.1955999999991</v>
      </c>
      <c r="C88" s="5"/>
      <c r="I88" s="5"/>
    </row>
    <row r="89" spans="1:9" x14ac:dyDescent="0.45">
      <c r="A89" s="25"/>
      <c r="B89" s="5" t="str">
        <f>IF(AND(C81&gt;=60000,C81&lt;300000),17901.5+(C81-60000)*0.45,"")</f>
        <v/>
      </c>
      <c r="C89" s="5"/>
      <c r="I89" s="5"/>
    </row>
    <row r="90" spans="1:9" x14ac:dyDescent="0.45">
      <c r="A90" s="25"/>
      <c r="B90" s="5" t="str">
        <f>IF(C81&gt;300000,125901.5+(C81-300000)*0.47,"")</f>
        <v/>
      </c>
      <c r="C90" s="5"/>
      <c r="I90" s="5"/>
    </row>
    <row r="91" spans="1:9" x14ac:dyDescent="0.45">
      <c r="A91" s="25"/>
      <c r="B91" s="5" t="s">
        <v>252</v>
      </c>
      <c r="C91" s="40">
        <f>MAX(B92:B97)</f>
        <v>0</v>
      </c>
      <c r="I91" s="5"/>
    </row>
    <row r="92" spans="1:9" x14ac:dyDescent="0.45">
      <c r="A92" s="25"/>
      <c r="B92" s="5">
        <f>IF(C82&lt;12450,0+(C82)*0.19,"")</f>
        <v>0</v>
      </c>
      <c r="C92" s="5"/>
      <c r="I92" s="5"/>
    </row>
    <row r="93" spans="1:9" x14ac:dyDescent="0.45">
      <c r="A93" s="25"/>
      <c r="B93" s="5" t="str">
        <f>IF(AND(C82&gt;=12450,C82&lt;20200),2365.5+(C82-12450)*0.24,"")</f>
        <v/>
      </c>
      <c r="C93" s="5"/>
      <c r="I93" s="5"/>
    </row>
    <row r="94" spans="1:9" x14ac:dyDescent="0.45">
      <c r="A94" s="25"/>
      <c r="B94" s="5" t="str">
        <f>IF(AND(C82&gt;=20200,C82&lt;35200),4225.5+(C82-20200)*0.3,"")</f>
        <v/>
      </c>
      <c r="C94" s="5"/>
      <c r="I94" s="5"/>
    </row>
    <row r="95" spans="1:9" x14ac:dyDescent="0.45">
      <c r="A95" s="25"/>
      <c r="B95" s="5" t="str">
        <f>IF(AND(C82&gt;=35200,C82&lt;60000),8725.5+(C82-35200)*0.37,"")</f>
        <v/>
      </c>
      <c r="C95" s="5"/>
      <c r="I95" s="5"/>
    </row>
    <row r="96" spans="1:9" x14ac:dyDescent="0.45">
      <c r="A96" s="25"/>
      <c r="B96" s="5" t="str">
        <f>IF(AND(C82&gt;=60000,C82&lt;300000),17901.5+(C82-60000)*0.45,"")</f>
        <v/>
      </c>
      <c r="C96" s="5"/>
    </row>
    <row r="97" spans="1:29" x14ac:dyDescent="0.45">
      <c r="B97" s="5" t="str">
        <f>IF(C82&gt;300000,125901.5+(C82-300000)*0.47,"")</f>
        <v/>
      </c>
      <c r="C97" s="5"/>
    </row>
    <row r="98" spans="1:29" s="24" customFormat="1" x14ac:dyDescent="0.45">
      <c r="A98" s="4"/>
      <c r="B98" s="5" t="s">
        <v>254</v>
      </c>
      <c r="C98" s="39">
        <f>IF(AND(C35&gt;0,L49-C35&gt;0),C91+C83,C108)</f>
        <v>9281.1955999999991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 s="24" customFormat="1" x14ac:dyDescent="0.45">
      <c r="A99" s="4"/>
      <c r="B99" s="5" t="s">
        <v>255</v>
      </c>
      <c r="C99" s="40">
        <f>IF(AND(C35&gt;0,L49-C35&gt;0),L48+1980,L48)</f>
        <v>5550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s="24" customFormat="1" x14ac:dyDescent="0.45">
      <c r="A100" s="4"/>
      <c r="B100" s="5" t="s">
        <v>256</v>
      </c>
      <c r="C100" s="40">
        <f>MAX(B101:B106)</f>
        <v>1054.5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:29" s="24" customFormat="1" x14ac:dyDescent="0.45">
      <c r="A101" s="4"/>
      <c r="B101" s="5">
        <f>IF(C99&lt;12450,0+(C99)*0.19,"")</f>
        <v>1054.5</v>
      </c>
      <c r="C101" s="5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 s="24" customFormat="1" x14ac:dyDescent="0.45">
      <c r="A102" s="4"/>
      <c r="B102" s="5" t="str">
        <f>IF(AND(C99&gt;=12450,C99&lt;20200),2365.5+(C99-12450)*0.24,"")</f>
        <v/>
      </c>
      <c r="C102" s="5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 s="24" customFormat="1" x14ac:dyDescent="0.45">
      <c r="A103" s="4"/>
      <c r="B103" s="5" t="str">
        <f>IF(AND(C99&gt;=20200,C99&lt;35200),4225.5+(C99-20200)*0.3,"")</f>
        <v/>
      </c>
      <c r="C103" s="5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s="24" customFormat="1" x14ac:dyDescent="0.45">
      <c r="A104" s="4"/>
      <c r="B104" s="5" t="str">
        <f>IF(AND(C99&gt;=35200,C99&lt;60000),8725.5+(C99-35200)*0.37,"")</f>
        <v/>
      </c>
      <c r="C104" s="5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s="24" customFormat="1" x14ac:dyDescent="0.45">
      <c r="A105" s="4"/>
      <c r="B105" s="5" t="str">
        <f>IF(AND(C99&gt;=60000,C99&lt;300000),17901.5+(C99-60000)*0.45,"")</f>
        <v/>
      </c>
      <c r="C105" s="5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s="24" customFormat="1" x14ac:dyDescent="0.45">
      <c r="A106" s="4"/>
      <c r="B106" s="5" t="str">
        <f>IF(C99&gt;300000,125901.5+(C99-300000)*0.47,"")</f>
        <v/>
      </c>
      <c r="C106" s="5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:29" s="24" customFormat="1" x14ac:dyDescent="0.45">
      <c r="A107" s="4"/>
      <c r="B107" s="5" t="s">
        <v>257</v>
      </c>
      <c r="C107" s="41">
        <f>IF(C98&gt;C100,C98-C100,L60)</f>
        <v>8226.6955999999991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:29" s="24" customFormat="1" x14ac:dyDescent="0.45">
      <c r="A108" s="4"/>
      <c r="B108" s="5" t="s">
        <v>258</v>
      </c>
      <c r="C108" s="40">
        <f>MAX(B109:B115)</f>
        <v>9281.1955999999991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 s="24" customFormat="1" x14ac:dyDescent="0.45">
      <c r="A109" s="4"/>
      <c r="B109" s="5" t="str">
        <f>IF(L49&lt;12450,0+(L49)*0.19,"")</f>
        <v/>
      </c>
      <c r="C109" s="5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 s="24" customFormat="1" x14ac:dyDescent="0.45">
      <c r="A110" s="4"/>
      <c r="B110" s="5" t="str">
        <f>IF(AND(L49&gt;=12450,L49&lt;20200),2365.5+(L49-12450)*0.24,"")</f>
        <v/>
      </c>
      <c r="C110" s="5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 s="24" customFormat="1" x14ac:dyDescent="0.45">
      <c r="A111" s="4"/>
      <c r="B111" s="5" t="str">
        <f>IF(AND(L49&gt;=20200,L49&lt;35200),4225.5+(L49-20200)*0.3,"")</f>
        <v/>
      </c>
      <c r="C111" s="5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 s="24" customFormat="1" x14ac:dyDescent="0.45">
      <c r="A112" s="4"/>
      <c r="B112" s="5">
        <f>IF(AND(L49&gt;=35200,L49&lt;60000),8725.5+(L49-35200)*0.37,"")</f>
        <v>9281.1955999999991</v>
      </c>
      <c r="C112" s="5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:29" s="24" customFormat="1" x14ac:dyDescent="0.45">
      <c r="A113" s="4"/>
      <c r="B113" s="5" t="str">
        <f>IF(AND(L49&gt;=60000,L49&lt;300000),17901.5+(L49-60000)*0.45,"")</f>
        <v/>
      </c>
      <c r="C113" s="5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:29" s="24" customFormat="1" x14ac:dyDescent="0.45">
      <c r="A114" s="4"/>
      <c r="B114" s="5" t="str">
        <f>IF(L49&gt;300000,125901.5+(L49-300000)*0.47,"")</f>
        <v/>
      </c>
      <c r="C114" s="5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 s="24" customFormat="1" x14ac:dyDescent="0.45">
      <c r="A115" s="4"/>
      <c r="B115" s="5"/>
      <c r="C115" s="5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29" s="24" customFormat="1" x14ac:dyDescent="0.45">
      <c r="A116" s="4"/>
      <c r="B116" s="5"/>
      <c r="C116" s="5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:29" s="24" customFormat="1" x14ac:dyDescent="0.45">
      <c r="A117" s="4"/>
      <c r="B117" s="5" t="s">
        <v>259</v>
      </c>
      <c r="C117" s="5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:29" s="24" customFormat="1" x14ac:dyDescent="0.45">
      <c r="A118" s="4"/>
      <c r="B118" s="5" t="s">
        <v>261</v>
      </c>
      <c r="C118" s="5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:29" s="24" customFormat="1" x14ac:dyDescent="0.45">
      <c r="A119" s="4"/>
      <c r="B119" s="5" t="s">
        <v>260</v>
      </c>
      <c r="C119" s="5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:29" s="24" customFormat="1" x14ac:dyDescent="0.45">
      <c r="A120" s="4"/>
      <c r="B120" s="5">
        <f>IF(AND(L36&lt;=35200,C69=1,C36=1),(L36-(17270+C119+C120))*0.43,0)</f>
        <v>0</v>
      </c>
      <c r="C120" s="5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:29" s="24" customFormat="1" x14ac:dyDescent="0.45">
      <c r="A121" s="4"/>
      <c r="B121" s="5">
        <f>IF(AND(L36&lt;=35200,C69=1,C36&gt;1),(L36-(18617+C119+C120))*0.43,0)</f>
        <v>0</v>
      </c>
      <c r="C121" s="5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1:29" s="24" customFormat="1" x14ac:dyDescent="0.45">
      <c r="A122" s="4"/>
      <c r="B122" s="5">
        <f>IF(AND(L36&lt;=35200,C69=2,C36=0),(L36-(16696+C119+C120))*0.43,0)</f>
        <v>0</v>
      </c>
      <c r="C122" s="5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:29" s="24" customFormat="1" x14ac:dyDescent="0.45">
      <c r="A123" s="4"/>
      <c r="B123" s="5">
        <f>IF(AND(L36&lt;=35200,C69=2,C36=1),(L36-(17894+C119+C120))*0.43,0)</f>
        <v>0</v>
      </c>
      <c r="C123" s="5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:29" s="24" customFormat="1" x14ac:dyDescent="0.45">
      <c r="A124" s="4"/>
      <c r="B124" s="5">
        <f>IF(AND(L36&lt;=35200,C69=2,C36&gt;1),(L36-(19241+C119+C120))*0.43,0)</f>
        <v>0</v>
      </c>
      <c r="C124" s="5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1:29" s="24" customFormat="1" x14ac:dyDescent="0.45">
      <c r="A125" s="4"/>
      <c r="B125" s="5">
        <f>IF(AND(L36&lt;=35200,C69=3,C36=0),(L36-(15000+C119+C120))*0.43,0)</f>
        <v>0</v>
      </c>
      <c r="C125" s="5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1:29" s="24" customFormat="1" x14ac:dyDescent="0.45">
      <c r="A126" s="4"/>
      <c r="B126" s="5">
        <f>IF(AND(L36&lt;=35200,C69=3,C36=1),(L36-(15599+C119+C120))*0.43,0)</f>
        <v>0</v>
      </c>
      <c r="C126" s="5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 s="24" customFormat="1" x14ac:dyDescent="0.45">
      <c r="A127" s="4"/>
      <c r="B127" s="5">
        <f>IF(AND(L36&lt;=35200,C69=3,C36&gt;1),(L36-(16272+C119+C120))*0.43,0)</f>
        <v>0</v>
      </c>
      <c r="C127" s="5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:29" s="24" customFormat="1" x14ac:dyDescent="0.45">
      <c r="A128" s="4"/>
      <c r="B128" s="5" t="s">
        <v>263</v>
      </c>
      <c r="C128" s="5" t="str">
        <f>IF(MAX(B120:B127)&gt;0,"Sí","No")</f>
        <v>No</v>
      </c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1:29" s="24" customFormat="1" x14ac:dyDescent="0.45">
      <c r="A129" s="4"/>
      <c r="B129" s="5" t="s">
        <v>264</v>
      </c>
      <c r="C129" s="5">
        <f>MAX(B120:B127)</f>
        <v>0</v>
      </c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:29" s="24" customFormat="1" x14ac:dyDescent="0.45">
      <c r="A130" s="4"/>
      <c r="B130" s="5" t="s">
        <v>262</v>
      </c>
      <c r="C130" s="41">
        <f>IF(C128="No",C107,IF(C107&gt;C129,C129,C107))</f>
        <v>8226.6955999999991</v>
      </c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1:29" s="24" customFormat="1" x14ac:dyDescent="0.45">
      <c r="A131" s="4"/>
      <c r="B131" s="5"/>
      <c r="C131" s="5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1:29" s="24" customFormat="1" x14ac:dyDescent="0.45">
      <c r="A132" s="4"/>
      <c r="B132" s="5"/>
      <c r="C132" s="5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:29" s="24" customFormat="1" x14ac:dyDescent="0.45">
      <c r="A133" s="4"/>
      <c r="B133" s="5"/>
      <c r="C133" s="5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1:29" s="24" customFormat="1" x14ac:dyDescent="0.45">
      <c r="A134" s="4"/>
      <c r="B134" s="5"/>
      <c r="C134" s="5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1:29" s="24" customFormat="1" x14ac:dyDescent="0.45">
      <c r="A135" s="4"/>
      <c r="B135" s="5"/>
      <c r="C135" s="5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1:29" s="24" customFormat="1" x14ac:dyDescent="0.45">
      <c r="A136" s="4"/>
      <c r="B136" s="5"/>
      <c r="C136" s="5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:29" s="24" customFormat="1" x14ac:dyDescent="0.45">
      <c r="A137" s="4"/>
      <c r="B137" s="5"/>
      <c r="C137" s="5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:29" s="24" customFormat="1" x14ac:dyDescent="0.45">
      <c r="A138" s="4"/>
      <c r="B138" s="5"/>
      <c r="C138" s="5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</sheetData>
  <sheetProtection algorithmName="SHA-512" hashValue="4zcwMChA2sqOyrhF0CP2RrFUywmEZCUYuu0RLHRZvn0za3gX6gaCOpKm25MCkkSuCJBntXd5kig4TpYNbQAB8w==" saltValue="M3f4MjRqtCmifZHX+Re7bA==" spinCount="100000" sheet="1" objects="1" scenarios="1"/>
  <mergeCells count="12">
    <mergeCell ref="M4:M5"/>
    <mergeCell ref="B29:C29"/>
    <mergeCell ref="B70:C70"/>
    <mergeCell ref="B3:C3"/>
    <mergeCell ref="J3:K3"/>
    <mergeCell ref="J4:K5"/>
    <mergeCell ref="L4:L5"/>
    <mergeCell ref="B32:C32"/>
    <mergeCell ref="B42:B44"/>
    <mergeCell ref="C42:C44"/>
    <mergeCell ref="B45:B47"/>
    <mergeCell ref="C45:C47"/>
  </mergeCells>
  <dataValidations count="18">
    <dataValidation type="list" allowBlank="1" showInputMessage="1" showErrorMessage="1" sqref="C11">
      <formula1>$D$5:$D$6</formula1>
    </dataValidation>
    <dataValidation type="whole" allowBlank="1" showInputMessage="1" showErrorMessage="1" sqref="C6:C10">
      <formula1>0</formula1>
      <formula2>14</formula2>
    </dataValidation>
    <dataValidation type="whole" allowBlank="1" showInputMessage="1" showErrorMessage="1" sqref="C12">
      <formula1>0</formula1>
      <formula2>5</formula2>
    </dataValidation>
    <dataValidation type="decimal" allowBlank="1" showInputMessage="1" showErrorMessage="1" sqref="C4:C5">
      <formula1>0</formula1>
      <formula2>100</formula2>
    </dataValidation>
    <dataValidation type="list" allowBlank="1" showInputMessage="1" showErrorMessage="1" sqref="C13">
      <formula1>$D$13:$D$20</formula1>
    </dataValidation>
    <dataValidation type="list" allowBlank="1" showInputMessage="1" showErrorMessage="1" sqref="C14">
      <formula1>$F$13:$F$18</formula1>
    </dataValidation>
    <dataValidation type="list" allowBlank="1" showInputMessage="1" showErrorMessage="1" sqref="C27 C48 C67 C62 C57 C52 C40 C38 C33 C15:C25">
      <formula1>$H$13:$H$14</formula1>
    </dataValidation>
    <dataValidation type="whole" allowBlank="1" showInputMessage="1" showErrorMessage="1" sqref="C26">
      <formula1>0</formula1>
      <formula2>30</formula2>
    </dataValidation>
    <dataValidation type="whole" allowBlank="1" showInputMessage="1" showErrorMessage="1" sqref="C28">
      <formula1>0</formula1>
      <formula2>10000</formula2>
    </dataValidation>
    <dataValidation type="whole" allowBlank="1" showInputMessage="1" showErrorMessage="1" sqref="C31">
      <formula1>1980</formula1>
      <formula2>2023</formula2>
    </dataValidation>
    <dataValidation type="list" allowBlank="1" showInputMessage="1" showErrorMessage="1" sqref="C30">
      <formula1>$A$36:$A$38</formula1>
    </dataValidation>
    <dataValidation type="whole" allowBlank="1" showInputMessage="1" showErrorMessage="1" sqref="C36">
      <formula1>0</formula1>
      <formula2>100</formula2>
    </dataValidation>
    <dataValidation type="whole" allowBlank="1" showInputMessage="1" showErrorMessage="1" sqref="C37 C41:C42">
      <formula1>0</formula1>
      <formula2>C36</formula2>
    </dataValidation>
    <dataValidation type="whole" allowBlank="1" showInputMessage="1" showErrorMessage="1" sqref="C50 C55 C60 C65">
      <formula1>18</formula1>
      <formula2>130</formula2>
    </dataValidation>
    <dataValidation type="whole" allowBlank="1" showInputMessage="1" showErrorMessage="1" sqref="C53 C58 C63 C68">
      <formula1>0</formula1>
      <formula2>20</formula2>
    </dataValidation>
    <dataValidation type="whole" allowBlank="1" showInputMessage="1" showErrorMessage="1" sqref="C45">
      <formula1>0</formula1>
      <formula2>C41</formula2>
    </dataValidation>
    <dataValidation type="list" allowBlank="1" showInputMessage="1" showErrorMessage="1" sqref="C39 C66 C56 C51 C61">
      <formula1>$A$39:$A$43</formula1>
    </dataValidation>
    <dataValidation type="list" allowBlank="1" showInputMessage="1" showErrorMessage="1" sqref="B70">
      <formula1>$A$69:$A$71</formula1>
    </dataValidation>
  </dataValidations>
  <hyperlinks>
    <hyperlink ref="B2" location="Inicio!A1" display="Ir a inicio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8"/>
  <sheetViews>
    <sheetView showRowColHeaders="0" zoomScaleNormal="100" workbookViewId="0">
      <selection activeCell="B2" sqref="B2"/>
    </sheetView>
  </sheetViews>
  <sheetFormatPr baseColWidth="10" defaultRowHeight="14.25" x14ac:dyDescent="0.45"/>
  <cols>
    <col min="1" max="1" width="0.53125" style="4" customWidth="1"/>
    <col min="2" max="2" width="55.86328125" style="4" customWidth="1"/>
    <col min="3" max="3" width="26.19921875" style="4" customWidth="1"/>
    <col min="4" max="4" width="2.265625" style="24" customWidth="1"/>
    <col min="5" max="5" width="1" style="24" customWidth="1"/>
    <col min="6" max="6" width="0.796875" style="24" hidden="1" customWidth="1"/>
    <col min="7" max="7" width="6.640625E-2" style="24" hidden="1" customWidth="1"/>
    <col min="8" max="8" width="6.19921875" style="24" hidden="1" customWidth="1"/>
    <col min="9" max="9" width="1.1328125" style="4" customWidth="1"/>
    <col min="10" max="10" width="10.6640625" style="4"/>
    <col min="11" max="11" width="41.33203125" style="4" customWidth="1"/>
    <col min="12" max="12" width="17.73046875" style="4" customWidth="1"/>
    <col min="13" max="13" width="17.9296875" style="4" customWidth="1"/>
    <col min="14" max="14" width="5.3984375" style="4" customWidth="1"/>
    <col min="15" max="15" width="4.73046875" style="4" customWidth="1"/>
    <col min="16" max="16384" width="10.6640625" style="4"/>
  </cols>
  <sheetData>
    <row r="1" spans="1:29" ht="118.5" customHeight="1" thickBot="1" x14ac:dyDescent="0.5">
      <c r="O1"/>
    </row>
    <row r="2" spans="1:29" ht="19.149999999999999" customHeight="1" thickBot="1" x14ac:dyDescent="0.5">
      <c r="B2" s="96" t="s">
        <v>293</v>
      </c>
      <c r="L2" s="33" t="s">
        <v>241</v>
      </c>
      <c r="M2" s="34" t="s">
        <v>172</v>
      </c>
      <c r="Q2" s="24"/>
      <c r="R2" s="24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8.25" customHeight="1" thickBot="1" x14ac:dyDescent="0.7">
      <c r="B3" s="158" t="s">
        <v>240</v>
      </c>
      <c r="C3" s="159"/>
      <c r="J3" s="160" t="s">
        <v>227</v>
      </c>
      <c r="K3" s="161"/>
      <c r="L3" s="84">
        <f>L4-SUM(L28:L32)</f>
        <v>2131.006657242388</v>
      </c>
      <c r="M3" s="84">
        <f>M4-SUM(M28:M32)</f>
        <v>1967.2238385456717</v>
      </c>
      <c r="Q3" s="24"/>
      <c r="R3" s="24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8.399999999999999" customHeight="1" thickBot="1" x14ac:dyDescent="0.5">
      <c r="A4" s="24"/>
      <c r="B4" s="26" t="s">
        <v>274</v>
      </c>
      <c r="C4" s="49">
        <v>100</v>
      </c>
      <c r="D4" s="50" t="s">
        <v>140</v>
      </c>
      <c r="J4" s="162" t="s">
        <v>121</v>
      </c>
      <c r="K4" s="163"/>
      <c r="L4" s="152">
        <f>SUM(L6:L26)</f>
        <v>3029.58</v>
      </c>
      <c r="M4" s="152">
        <f>SUM(M6:M26)</f>
        <v>2531.46</v>
      </c>
      <c r="Q4" s="24"/>
      <c r="R4" s="24"/>
      <c r="S4" s="5"/>
      <c r="T4" s="5" t="s">
        <v>122</v>
      </c>
      <c r="U4" s="5"/>
      <c r="V4" s="5">
        <f>$C$6*Datos!G15</f>
        <v>0</v>
      </c>
      <c r="W4" s="5">
        <f>$C$6*Datos!G16</f>
        <v>0</v>
      </c>
      <c r="X4" s="5"/>
      <c r="Y4" s="5"/>
      <c r="Z4" s="5"/>
      <c r="AA4" s="5"/>
      <c r="AB4" s="5"/>
      <c r="AC4" s="5"/>
    </row>
    <row r="5" spans="1:29" ht="18.399999999999999" customHeight="1" thickBot="1" x14ac:dyDescent="0.5">
      <c r="A5" s="24"/>
      <c r="B5" s="26" t="s">
        <v>163</v>
      </c>
      <c r="C5" s="48"/>
      <c r="D5" s="5" t="s">
        <v>285</v>
      </c>
      <c r="E5" s="5"/>
      <c r="F5" s="5"/>
      <c r="G5" s="5"/>
      <c r="H5" s="5"/>
      <c r="I5" s="5"/>
      <c r="J5" s="164"/>
      <c r="K5" s="165"/>
      <c r="L5" s="153"/>
      <c r="M5" s="153"/>
      <c r="Q5" s="24"/>
      <c r="R5" s="24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x14ac:dyDescent="0.45">
      <c r="A6" s="24"/>
      <c r="B6" s="6" t="str">
        <f>T4</f>
        <v>Trienios A1</v>
      </c>
      <c r="C6" s="17">
        <v>0</v>
      </c>
      <c r="D6" s="5" t="s">
        <v>288</v>
      </c>
      <c r="E6" s="5"/>
      <c r="F6" s="5"/>
      <c r="G6" s="5"/>
      <c r="H6" s="5"/>
      <c r="I6" s="5"/>
      <c r="J6" s="63" t="s">
        <v>118</v>
      </c>
      <c r="K6" s="67"/>
      <c r="L6" s="59">
        <f>ROUND((C4/100)*Datos!G4,2)</f>
        <v>1300.8800000000001</v>
      </c>
      <c r="M6" s="59">
        <f>ROUND((C4/100)*Datos!G5,2)</f>
        <v>802.76</v>
      </c>
      <c r="Q6" s="24"/>
      <c r="R6" s="24"/>
      <c r="S6" s="5"/>
      <c r="T6" s="5" t="s">
        <v>123</v>
      </c>
      <c r="U6" s="5"/>
      <c r="V6" s="5">
        <f>$C$7*Datos!G17</f>
        <v>0</v>
      </c>
      <c r="W6" s="5">
        <f>$C$7*Datos!G18</f>
        <v>0</v>
      </c>
      <c r="X6" s="5"/>
      <c r="Y6" s="5"/>
      <c r="Z6" s="5"/>
      <c r="AA6" s="5"/>
      <c r="AB6" s="5"/>
      <c r="AC6" s="5"/>
    </row>
    <row r="7" spans="1:29" x14ac:dyDescent="0.45">
      <c r="A7" s="24"/>
      <c r="B7" s="8" t="str">
        <f t="shared" ref="B7:B10" si="0">T6</f>
        <v>Trienios A2</v>
      </c>
      <c r="C7" s="18">
        <v>0</v>
      </c>
      <c r="D7" s="5"/>
      <c r="E7" s="5"/>
      <c r="F7" s="5"/>
      <c r="G7" s="5"/>
      <c r="H7" s="5"/>
      <c r="I7" s="5"/>
      <c r="J7" s="42" t="s">
        <v>119</v>
      </c>
      <c r="K7"/>
      <c r="L7" s="60">
        <f>ROUND(($C$4/100)*Datos!G8,2)</f>
        <v>819</v>
      </c>
      <c r="M7" s="60">
        <f>L7</f>
        <v>819</v>
      </c>
      <c r="Q7" s="24"/>
      <c r="R7" s="24"/>
      <c r="S7" s="5"/>
      <c r="T7" s="5" t="s">
        <v>124</v>
      </c>
      <c r="U7" s="5"/>
      <c r="V7" s="5">
        <f>$C$8*Datos!G19</f>
        <v>0</v>
      </c>
      <c r="W7" s="5">
        <f>$C$8*Datos!G20</f>
        <v>0</v>
      </c>
      <c r="X7" s="5"/>
      <c r="Y7" s="5"/>
      <c r="Z7" s="5"/>
      <c r="AA7" s="5"/>
      <c r="AB7" s="5"/>
      <c r="AC7" s="5"/>
    </row>
    <row r="8" spans="1:29" x14ac:dyDescent="0.45">
      <c r="A8" s="24"/>
      <c r="B8" s="8" t="str">
        <f t="shared" si="0"/>
        <v>Trienios C1</v>
      </c>
      <c r="C8" s="18">
        <v>0</v>
      </c>
      <c r="D8" s="5"/>
      <c r="E8" s="5"/>
      <c r="F8" s="5"/>
      <c r="G8" s="5"/>
      <c r="H8" s="5"/>
      <c r="I8" s="5"/>
      <c r="J8" s="42" t="s">
        <v>120</v>
      </c>
      <c r="K8" s="68"/>
      <c r="L8" s="60">
        <f>ROUND(($C$4/100)*Datos!G12,2)</f>
        <v>909.7</v>
      </c>
      <c r="M8" s="60">
        <f>L8</f>
        <v>909.7</v>
      </c>
      <c r="Q8" s="24"/>
      <c r="R8" s="24"/>
      <c r="S8" s="5"/>
      <c r="T8" s="5" t="s">
        <v>125</v>
      </c>
      <c r="U8" s="5"/>
      <c r="V8" s="5">
        <f>$C$9*Datos!G21</f>
        <v>0</v>
      </c>
      <c r="W8" s="5">
        <f>$C$9*Datos!G22</f>
        <v>0</v>
      </c>
      <c r="X8" s="5"/>
      <c r="Y8" s="5"/>
      <c r="Z8" s="5"/>
      <c r="AA8" s="5"/>
      <c r="AB8" s="5"/>
      <c r="AC8" s="5"/>
    </row>
    <row r="9" spans="1:29" x14ac:dyDescent="0.45">
      <c r="A9" s="24"/>
      <c r="B9" s="8" t="str">
        <f t="shared" si="0"/>
        <v>Trienios C2</v>
      </c>
      <c r="C9" s="18">
        <v>0</v>
      </c>
      <c r="D9" s="5"/>
      <c r="E9" s="5"/>
      <c r="F9" s="5"/>
      <c r="G9" s="5"/>
      <c r="H9" s="5"/>
      <c r="I9" s="5"/>
      <c r="J9" s="42" t="s">
        <v>126</v>
      </c>
      <c r="K9" s="68"/>
      <c r="L9" s="60">
        <f>IF(SUM(C6:C10)&gt;0,ROUND(V12*C4/100,2),0)</f>
        <v>0</v>
      </c>
      <c r="M9" s="60">
        <f>W12</f>
        <v>0</v>
      </c>
      <c r="Q9" s="24"/>
      <c r="R9" s="24"/>
      <c r="S9" s="5"/>
      <c r="T9" s="5" t="s">
        <v>127</v>
      </c>
      <c r="U9" s="5"/>
      <c r="V9" s="5">
        <f>$C$10*Datos!G23</f>
        <v>0</v>
      </c>
      <c r="W9" s="5">
        <f>$C$10*Datos!G24</f>
        <v>0</v>
      </c>
      <c r="X9" s="5"/>
      <c r="Y9" s="5"/>
      <c r="Z9" s="5"/>
      <c r="AA9" s="5"/>
      <c r="AB9" s="5"/>
      <c r="AC9" s="5"/>
    </row>
    <row r="10" spans="1:29" ht="14.65" thickBot="1" x14ac:dyDescent="0.5">
      <c r="A10" s="24"/>
      <c r="B10" s="12" t="str">
        <f t="shared" si="0"/>
        <v>Trienios agrupaciones especiales</v>
      </c>
      <c r="C10" s="19">
        <v>0</v>
      </c>
      <c r="D10" s="5"/>
      <c r="E10" s="5"/>
      <c r="F10" s="5"/>
      <c r="G10" s="5"/>
      <c r="H10" s="5"/>
      <c r="I10" s="5"/>
      <c r="J10" s="42" t="s">
        <v>153</v>
      </c>
      <c r="K10" s="68"/>
      <c r="L10" s="60">
        <f>IF(C12&gt;0,ROUND(N13*C4/100,2),0)</f>
        <v>0</v>
      </c>
      <c r="M10" s="60">
        <f>L10</f>
        <v>0</v>
      </c>
      <c r="Q10" s="24"/>
      <c r="R10" s="24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4.65" thickBot="1" x14ac:dyDescent="0.5">
      <c r="A11" s="5"/>
      <c r="B11" s="27" t="s">
        <v>284</v>
      </c>
      <c r="C11" s="20" t="s">
        <v>285</v>
      </c>
      <c r="D11" s="5"/>
      <c r="E11" s="5"/>
      <c r="F11" s="5"/>
      <c r="G11" s="5"/>
      <c r="H11" s="5"/>
      <c r="I11" s="5"/>
      <c r="J11" s="42" t="s">
        <v>24</v>
      </c>
      <c r="K11" s="68"/>
      <c r="L11" s="60">
        <f>IF(C13=D14,ROUND(C4*MAX(E28:E33,G28:G33)/100,2),0)</f>
        <v>0</v>
      </c>
      <c r="M11" s="60">
        <f t="shared" ref="M11:M26" si="1">L11</f>
        <v>0</v>
      </c>
      <c r="Q11" s="24"/>
      <c r="R11" s="24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4.65" thickBot="1" x14ac:dyDescent="0.5">
      <c r="A12" s="5"/>
      <c r="B12" s="27" t="s">
        <v>129</v>
      </c>
      <c r="C12" s="20">
        <v>0</v>
      </c>
      <c r="D12" s="5" t="str">
        <f>IF(OR(C13=D14,C13=D18,C13=D19,C13=D20),D14,"")</f>
        <v/>
      </c>
      <c r="E12" s="5"/>
      <c r="F12" s="5"/>
      <c r="G12" s="5"/>
      <c r="H12" s="5"/>
      <c r="I12" s="5"/>
      <c r="J12" s="42" t="s">
        <v>39</v>
      </c>
      <c r="K12" s="68"/>
      <c r="L12" s="60">
        <f>IF(C13=D16,ROUND(C4*MAX(F28:F32,H28:H32)/100,2),0)</f>
        <v>0</v>
      </c>
      <c r="M12" s="60">
        <f t="shared" si="1"/>
        <v>0</v>
      </c>
      <c r="Q12" s="24"/>
      <c r="R12" s="24"/>
      <c r="S12" s="5"/>
      <c r="T12" s="5" t="s">
        <v>128</v>
      </c>
      <c r="U12" s="5"/>
      <c r="V12" s="5">
        <f>SUM(V4:V9)</f>
        <v>0</v>
      </c>
      <c r="W12" s="5">
        <f>SUM(W4:W9)</f>
        <v>0</v>
      </c>
      <c r="X12" s="5"/>
      <c r="Y12" s="5"/>
      <c r="Z12" s="5"/>
      <c r="AA12" s="5"/>
      <c r="AB12" s="5"/>
      <c r="AC12" s="5"/>
    </row>
    <row r="13" spans="1:29" ht="14.65" thickBot="1" x14ac:dyDescent="0.5">
      <c r="A13" s="5"/>
      <c r="B13" s="27" t="s">
        <v>280</v>
      </c>
      <c r="C13" s="20" t="s">
        <v>141</v>
      </c>
      <c r="D13" s="5" t="s">
        <v>141</v>
      </c>
      <c r="E13" s="5"/>
      <c r="F13" s="5" t="s">
        <v>27</v>
      </c>
      <c r="G13" s="5" t="s">
        <v>136</v>
      </c>
      <c r="H13" s="5" t="s">
        <v>143</v>
      </c>
      <c r="I13" s="5"/>
      <c r="J13" s="42" t="s">
        <v>40</v>
      </c>
      <c r="K13" s="68"/>
      <c r="L13" s="99">
        <f>IF(C13=D15,ROUND(C4*MAX(F28:F32,H28:H32)/100,2),0)</f>
        <v>0</v>
      </c>
      <c r="M13" s="60">
        <f t="shared" si="1"/>
        <v>0</v>
      </c>
      <c r="N13" s="5">
        <f>IF(C12=1,Datos!J26,IF(C12=2,Datos!J27,IF(C12=3,Datos!J28,IF(C12=4,Datos!J29,IF(C12=5,Datos!J30,0)))))</f>
        <v>0</v>
      </c>
      <c r="Q13" s="24"/>
      <c r="R13" s="24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4.65" thickBot="1" x14ac:dyDescent="0.5">
      <c r="A14" s="5"/>
      <c r="B14" s="27" t="s">
        <v>130</v>
      </c>
      <c r="C14" s="20"/>
      <c r="D14" s="5" t="s">
        <v>132</v>
      </c>
      <c r="E14" s="5"/>
      <c r="F14" s="5" t="s">
        <v>28</v>
      </c>
      <c r="G14" s="5" t="s">
        <v>137</v>
      </c>
      <c r="H14" s="5" t="s">
        <v>144</v>
      </c>
      <c r="I14" s="5"/>
      <c r="J14" s="42" t="s">
        <v>154</v>
      </c>
      <c r="K14" s="68"/>
      <c r="L14" s="60">
        <f>IF(C13=D17,ROUND(Datos!G77*'Catedráticos Secundaria'!C4/100,2),0)</f>
        <v>0</v>
      </c>
      <c r="M14" s="60">
        <f t="shared" si="1"/>
        <v>0</v>
      </c>
      <c r="Q14" s="24"/>
      <c r="R14" s="24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4.65" thickBot="1" x14ac:dyDescent="0.5">
      <c r="A15" s="5"/>
      <c r="B15" s="27" t="s">
        <v>53</v>
      </c>
      <c r="C15" s="20" t="s">
        <v>144</v>
      </c>
      <c r="D15" s="5" t="s">
        <v>133</v>
      </c>
      <c r="E15" s="5"/>
      <c r="F15" s="5" t="s">
        <v>29</v>
      </c>
      <c r="G15" s="5" t="s">
        <v>138</v>
      </c>
      <c r="H15" s="5"/>
      <c r="I15" s="5"/>
      <c r="J15" s="42" t="str">
        <f>B16</f>
        <v>Jefatura de Residencia Tipo A</v>
      </c>
      <c r="K15" s="68"/>
      <c r="L15" s="60">
        <f>IF(C16="Sí",ROUND(Datos!G85*'Catedráticos Secundaria'!C4/100,2),0)</f>
        <v>0</v>
      </c>
      <c r="M15" s="60">
        <f t="shared" si="1"/>
        <v>0</v>
      </c>
      <c r="Q15" s="24"/>
      <c r="R15" s="24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4.65" thickBot="1" x14ac:dyDescent="0.5">
      <c r="A16" s="5"/>
      <c r="B16" s="27" t="s">
        <v>50</v>
      </c>
      <c r="C16" s="20" t="s">
        <v>144</v>
      </c>
      <c r="D16" s="5" t="s">
        <v>134</v>
      </c>
      <c r="E16" s="5"/>
      <c r="F16" s="5" t="s">
        <v>30</v>
      </c>
      <c r="G16" s="5" t="s">
        <v>139</v>
      </c>
      <c r="H16" s="5" t="s">
        <v>144</v>
      </c>
      <c r="I16" s="5"/>
      <c r="J16" s="42" t="str">
        <f>B17</f>
        <v>Jefatura de Residencia Tipo B</v>
      </c>
      <c r="K16" s="68"/>
      <c r="L16" s="60">
        <f>IF(C17="Sí",ROUND(Datos!G86*'Catedráticos Secundaria'!C4/100,2),0)</f>
        <v>0</v>
      </c>
      <c r="M16" s="60">
        <f t="shared" si="1"/>
        <v>0</v>
      </c>
      <c r="Q16" s="24"/>
      <c r="R16" s="24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4.65" thickBot="1" x14ac:dyDescent="0.5">
      <c r="A17" s="5"/>
      <c r="B17" s="27" t="s">
        <v>51</v>
      </c>
      <c r="C17" s="20" t="s">
        <v>144</v>
      </c>
      <c r="D17" s="5" t="s">
        <v>142</v>
      </c>
      <c r="E17" s="5"/>
      <c r="F17" s="5" t="s">
        <v>31</v>
      </c>
      <c r="G17" s="5"/>
      <c r="H17" s="5" t="s">
        <v>145</v>
      </c>
      <c r="I17" s="5"/>
      <c r="J17" s="42" t="str">
        <f>B18</f>
        <v>Jefatura de Residencia de CEE</v>
      </c>
      <c r="K17" s="68"/>
      <c r="L17" s="60">
        <f>IF(C18="Sí",ROUND(Datos!G87*'Catedráticos Secundaria'!C4/100,2),0)</f>
        <v>0</v>
      </c>
      <c r="M17" s="60">
        <f t="shared" si="1"/>
        <v>0</v>
      </c>
      <c r="Q17" s="24"/>
      <c r="R17" s="24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14.65" thickBot="1" x14ac:dyDescent="0.5">
      <c r="A18" s="5"/>
      <c r="B18" s="27" t="s">
        <v>104</v>
      </c>
      <c r="C18" s="20" t="s">
        <v>144</v>
      </c>
      <c r="D18" s="5" t="s">
        <v>281</v>
      </c>
      <c r="E18" s="5"/>
      <c r="F18" s="5" t="s">
        <v>32</v>
      </c>
      <c r="G18" s="5"/>
      <c r="H18" s="5" t="s">
        <v>146</v>
      </c>
      <c r="I18" s="5"/>
      <c r="J18" s="42" t="str">
        <f>B19</f>
        <v>Coordinación Equipos de Atención Hospitalaria y Domiciliaria</v>
      </c>
      <c r="K18" s="68"/>
      <c r="L18" s="60">
        <f>IF(C19="Sí",ROUND(Datos!G89*'Catedráticos Secundaria'!C4/100,2),0)</f>
        <v>0</v>
      </c>
      <c r="M18" s="60">
        <f t="shared" si="1"/>
        <v>0</v>
      </c>
      <c r="Q18" s="24"/>
      <c r="R18" s="24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14.65" thickBot="1" x14ac:dyDescent="0.5">
      <c r="A19" s="5"/>
      <c r="B19" s="27" t="s">
        <v>102</v>
      </c>
      <c r="C19" s="20" t="s">
        <v>144</v>
      </c>
      <c r="D19" s="5" t="s">
        <v>282</v>
      </c>
      <c r="E19" s="5"/>
      <c r="F19" s="5"/>
      <c r="G19" s="5"/>
      <c r="H19" s="5" t="s">
        <v>147</v>
      </c>
      <c r="I19" s="5"/>
      <c r="J19" s="42" t="str">
        <f>B20</f>
        <v>Coordinación Programa Recuperación Pueblos Abandonados</v>
      </c>
      <c r="K19" s="68"/>
      <c r="L19" s="60">
        <f>IF(C20="Sí",ROUND(Datos!G90*'Catedráticos Secundaria'!C4/100,2),0)</f>
        <v>0</v>
      </c>
      <c r="M19" s="60">
        <f t="shared" si="1"/>
        <v>0</v>
      </c>
      <c r="Q19" s="24"/>
      <c r="R19" s="24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14.65" thickBot="1" x14ac:dyDescent="0.5">
      <c r="A20" s="5"/>
      <c r="B20" s="27" t="s">
        <v>103</v>
      </c>
      <c r="C20" s="20" t="s">
        <v>144</v>
      </c>
      <c r="D20" s="5" t="s">
        <v>283</v>
      </c>
      <c r="E20" s="5"/>
      <c r="F20" s="5"/>
      <c r="G20" s="5"/>
      <c r="H20" s="5"/>
      <c r="I20" s="5"/>
      <c r="J20" s="42" t="s">
        <v>53</v>
      </c>
      <c r="K20" s="68"/>
      <c r="L20" s="60">
        <f>IF(C15="Sí",ROUND(Datos!G91*'Catedráticos Secundaria'!C4/100,2),0)</f>
        <v>0</v>
      </c>
      <c r="M20" s="60">
        <f t="shared" si="1"/>
        <v>0</v>
      </c>
      <c r="Q20" s="24"/>
      <c r="R20" s="24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14.65" thickBot="1" x14ac:dyDescent="0.5">
      <c r="A21" s="5"/>
      <c r="B21" s="27" t="s">
        <v>54</v>
      </c>
      <c r="C21" s="20" t="s">
        <v>144</v>
      </c>
      <c r="D21" s="5">
        <f>IF(C13=D18,0.25,IF(C13=D19,0.4,IF(C13=D20,0.6,0)))</f>
        <v>0</v>
      </c>
      <c r="E21" s="5"/>
      <c r="F21" s="5"/>
      <c r="G21" s="5"/>
      <c r="H21" s="5"/>
      <c r="I21" s="5"/>
      <c r="J21" s="42" t="s">
        <v>276</v>
      </c>
      <c r="K21" s="68"/>
      <c r="L21" s="60">
        <f>IF(C22="Sí",ROUND(Datos!G97*'Catedráticos Secundaria'!C4/100,2),0)</f>
        <v>0</v>
      </c>
      <c r="M21" s="60">
        <f t="shared" si="1"/>
        <v>0</v>
      </c>
      <c r="Q21" s="24"/>
      <c r="R21" s="24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14.65" thickBot="1" x14ac:dyDescent="0.5">
      <c r="A22" s="5"/>
      <c r="B22" s="27" t="s">
        <v>275</v>
      </c>
      <c r="C22" s="20" t="s">
        <v>144</v>
      </c>
      <c r="D22" s="5"/>
      <c r="E22" s="5"/>
      <c r="F22" s="5"/>
      <c r="G22" s="5"/>
      <c r="H22" s="5"/>
      <c r="I22" s="5"/>
      <c r="J22" s="42" t="s">
        <v>158</v>
      </c>
      <c r="K22" s="68"/>
      <c r="L22" s="60">
        <f>IF(C24="Sí",ROUND(C4*SUM(D24:D26)/100,2),0)</f>
        <v>0</v>
      </c>
      <c r="M22" s="60">
        <f>L22</f>
        <v>0</v>
      </c>
      <c r="Q22" s="24"/>
      <c r="R22" s="24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14.65" thickBot="1" x14ac:dyDescent="0.5">
      <c r="A23" s="5"/>
      <c r="B23" s="27" t="s">
        <v>347</v>
      </c>
      <c r="C23" s="20" t="s">
        <v>144</v>
      </c>
      <c r="D23" s="5"/>
      <c r="E23" s="5"/>
      <c r="F23" s="5"/>
      <c r="G23" s="5"/>
      <c r="H23" s="5"/>
      <c r="I23" s="5"/>
      <c r="J23" s="42" t="s">
        <v>348</v>
      </c>
      <c r="K23" s="68"/>
      <c r="L23" s="60">
        <f>IF(C23="Sí",ROUND(Datos!G96*'Catedráticos Secundaria'!C4/100,2),0)</f>
        <v>0</v>
      </c>
      <c r="M23" s="60"/>
      <c r="Q23" s="24"/>
      <c r="R23" s="24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4.65" thickBot="1" x14ac:dyDescent="0.5">
      <c r="A24" s="5"/>
      <c r="B24" s="27" t="s">
        <v>150</v>
      </c>
      <c r="C24" s="20" t="s">
        <v>144</v>
      </c>
      <c r="D24" s="5">
        <f>IF(C24="No",0,Datos!G102)</f>
        <v>0</v>
      </c>
      <c r="E24" s="5"/>
      <c r="F24" s="5"/>
      <c r="G24" s="5"/>
      <c r="H24" s="5"/>
      <c r="I24" s="5"/>
      <c r="J24" s="42" t="s">
        <v>159</v>
      </c>
      <c r="K24" s="68"/>
      <c r="L24" s="60">
        <f>IF(C27="Sí",ROUND(C4*MIN(D28:D37)/100,2),0)</f>
        <v>0</v>
      </c>
      <c r="M24" s="60">
        <f>L24</f>
        <v>0</v>
      </c>
      <c r="Q24" s="24"/>
      <c r="R24" s="24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14.65" thickBot="1" x14ac:dyDescent="0.5">
      <c r="A25" s="5"/>
      <c r="B25" s="15" t="s">
        <v>148</v>
      </c>
      <c r="C25" s="20" t="s">
        <v>144</v>
      </c>
      <c r="D25" s="5">
        <f>IF(AND(C24="Sí",C25="Sí"),Datos!G103,0)</f>
        <v>0</v>
      </c>
      <c r="E25" s="5"/>
      <c r="F25" s="5"/>
      <c r="G25" s="5"/>
      <c r="H25" s="5"/>
      <c r="I25" s="5"/>
      <c r="J25" s="42" t="s">
        <v>279</v>
      </c>
      <c r="K25" s="69"/>
      <c r="L25" s="60">
        <f>IF(D21&gt;0,ROUND(C4*MAX(E28:E34,G28:G34)*D21/100,2),0)</f>
        <v>0</v>
      </c>
      <c r="M25" s="60">
        <f>L25</f>
        <v>0</v>
      </c>
      <c r="Q25" s="24"/>
      <c r="R25" s="24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14.65" thickBot="1" x14ac:dyDescent="0.5">
      <c r="A26" s="5"/>
      <c r="B26" s="14" t="s">
        <v>149</v>
      </c>
      <c r="C26" s="21">
        <v>0</v>
      </c>
      <c r="D26" s="5">
        <f>IF(C24="Sí",C26*Datos!G104,0)</f>
        <v>0</v>
      </c>
      <c r="E26" s="5"/>
      <c r="F26" s="5"/>
      <c r="G26" s="5"/>
      <c r="H26" s="5"/>
      <c r="I26" s="5"/>
      <c r="J26" s="61" t="s">
        <v>289</v>
      </c>
      <c r="K26" s="70"/>
      <c r="L26" s="62">
        <f>IF(C21="Sí",ROUND(Datos!G92*C4/100,2),0)</f>
        <v>0</v>
      </c>
      <c r="M26" s="62">
        <f t="shared" si="1"/>
        <v>0</v>
      </c>
      <c r="Q26" s="24"/>
      <c r="R26" s="24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14.65" thickBot="1" x14ac:dyDescent="0.5">
      <c r="A27" s="5"/>
      <c r="B27" s="27" t="s">
        <v>151</v>
      </c>
      <c r="C27" s="20" t="s">
        <v>144</v>
      </c>
      <c r="D27" s="5"/>
      <c r="E27" s="5" t="s">
        <v>131</v>
      </c>
      <c r="F27" s="5" t="s">
        <v>160</v>
      </c>
      <c r="G27" s="5" t="s">
        <v>286</v>
      </c>
      <c r="H27" s="5" t="s">
        <v>287</v>
      </c>
      <c r="I27" s="5"/>
      <c r="J27" s="64" t="s">
        <v>168</v>
      </c>
      <c r="K27" s="65"/>
      <c r="L27" s="66"/>
      <c r="M27" s="65"/>
      <c r="Q27" s="24"/>
      <c r="R27" s="24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4.65" thickBot="1" x14ac:dyDescent="0.5">
      <c r="A28" s="5"/>
      <c r="B28" s="15" t="s">
        <v>152</v>
      </c>
      <c r="C28" s="20">
        <v>0</v>
      </c>
      <c r="D28" s="5">
        <f>IF($C$28&lt;=50,Datos!G107,"")</f>
        <v>16.559999999999999</v>
      </c>
      <c r="E28" s="5" t="str">
        <f>IF(AND(C11=D5,$D12=$D$14,$C$14=F13),Datos!G64,"")</f>
        <v/>
      </c>
      <c r="F28" s="5" t="str">
        <f>IF(AND(OR($C$13=$D$15,$C$13=$D$16),$C$14=F13,C11=D5),Datos!G68,"")</f>
        <v/>
      </c>
      <c r="G28" s="5" t="str">
        <f>IF(AND(C11=D6,$D12=$D$14,$C$14=F13),Datos!G32,"")</f>
        <v/>
      </c>
      <c r="H28" s="5" t="str">
        <f>IF(AND(OR($C$13=$D$15,$C$13=$D$16),$C$14=F13,C11=D6),Datos!G38,"")</f>
        <v/>
      </c>
      <c r="I28" s="5"/>
      <c r="J28" s="9" t="s">
        <v>237</v>
      </c>
      <c r="K28" s="46"/>
      <c r="L28" s="22">
        <f>IF(OR(C30="Funcionario/a de carrera",C30="Funcionario/a en prácticas"),51.68,0)</f>
        <v>0</v>
      </c>
      <c r="M28" s="56">
        <f>L28</f>
        <v>0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4.65" thickBot="1" x14ac:dyDescent="0.5">
      <c r="A29" s="5"/>
      <c r="B29" s="166" t="s">
        <v>239</v>
      </c>
      <c r="C29" s="167"/>
      <c r="D29" s="5">
        <f>IF($C$28&lt;=100,Datos!G108,"")</f>
        <v>33.119999999999997</v>
      </c>
      <c r="E29" s="5" t="str">
        <f>IF(AND(C11=D5,$D$12=$D$14,$C$14=F14),Datos!G65,"")</f>
        <v/>
      </c>
      <c r="F29" s="5" t="str">
        <f>IF(AND(OR($C$13=$D$15,$C$13=$D$16),$C$14=F14,C11=D5),Datos!G69,"")</f>
        <v/>
      </c>
      <c r="G29" s="5" t="str">
        <f>IF(AND(C11=D6,$D12=$D$14,$C$14=F14),Datos!G33,"")</f>
        <v/>
      </c>
      <c r="H29" s="5" t="str">
        <f>IF(AND(OR($C$13=$D$15,$C$13=$D$16),$C$14=F14,C11=D6),Datos!G39,"")</f>
        <v/>
      </c>
      <c r="I29" s="5"/>
      <c r="J29" s="9" t="s">
        <v>238</v>
      </c>
      <c r="K29" s="46"/>
      <c r="L29" s="22">
        <f>IF(AND(L28&gt;0,C31&lt;2011,C31&gt;0),118.04,0)</f>
        <v>0</v>
      </c>
      <c r="M29" s="56">
        <f>L29</f>
        <v>0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14.65" thickBot="1" x14ac:dyDescent="0.5">
      <c r="A30" s="5"/>
      <c r="B30" s="27" t="s">
        <v>164</v>
      </c>
      <c r="C30" s="20" t="s">
        <v>167</v>
      </c>
      <c r="D30" s="5">
        <f>IF($C$28&lt;=150,Datos!G109,"")</f>
        <v>49.68</v>
      </c>
      <c r="E30" s="5" t="str">
        <f>IF(AND(C11=D5,$D$12=$D$14,$C$14=F15),Datos!G66,"")</f>
        <v/>
      </c>
      <c r="F30" s="5" t="str">
        <f>IF(AND(OR($C$13=$D$15,$C$13=$D$16),$C$14=F15,C11=D5),Datos!G70,"")</f>
        <v/>
      </c>
      <c r="G30" s="5" t="str">
        <f>IF(AND(C11=D6,$D12=$D$14,$C$14=F15),Datos!G34,"")</f>
        <v/>
      </c>
      <c r="H30" s="5" t="str">
        <f>IF(AND(OR($C$13=$D$15,$C$13=$D$16),$C$14=F15,C11=D6),Datos!G40,"")</f>
        <v/>
      </c>
      <c r="I30" s="5"/>
      <c r="J30" s="9" t="s">
        <v>169</v>
      </c>
      <c r="K30" s="46"/>
      <c r="L30" s="22">
        <f>IF(OR(C30=A37,AND(C30=A36,C31&gt;=2011)),(L4+(M4/6))*L69,0)</f>
        <v>0</v>
      </c>
      <c r="M30" s="11">
        <v>0</v>
      </c>
      <c r="P30" s="5"/>
      <c r="Q30" s="5"/>
      <c r="R30" s="5"/>
      <c r="S30" s="5"/>
      <c r="T30" s="5"/>
      <c r="U30" s="5"/>
      <c r="V30" s="5"/>
      <c r="W30" s="5"/>
    </row>
    <row r="31" spans="1:29" ht="14.65" thickBot="1" x14ac:dyDescent="0.5">
      <c r="A31" s="5"/>
      <c r="B31" s="27" t="str">
        <f>IF(C30=A36,"¿En qué año aprobaste la oposición?","")</f>
        <v/>
      </c>
      <c r="C31" s="20">
        <v>2010</v>
      </c>
      <c r="D31" s="5">
        <f>IF($C$28&lt;=200,Datos!G110,"")</f>
        <v>66.239999999999995</v>
      </c>
      <c r="E31" s="5" t="str">
        <f>IF(AND(C11=D5,$D$12=$D$14,$C$14=F16),Datos!G67,"")</f>
        <v/>
      </c>
      <c r="F31" s="5" t="str">
        <f>IF(AND(OR($C$13=$D$15,$C$13=$D$16),$C$14=F16,C11=D5),Datos!G71,"")</f>
        <v/>
      </c>
      <c r="G31" s="5" t="str">
        <f>IF(AND(C11=D6,$D12=$D$14,$C$14=F13),Datos!G35,"")</f>
        <v/>
      </c>
      <c r="H31" s="5" t="str">
        <f>IF(AND(OR($C$13=$D$15,$C$13=$D$16),$C$14=F16,C11=D6),Datos!G41,"")</f>
        <v/>
      </c>
      <c r="I31" s="5"/>
      <c r="J31" s="9" t="s">
        <v>170</v>
      </c>
      <c r="K31" s="46"/>
      <c r="L31" s="53">
        <f>IF(C30=A38,L4*0.0647+M4*0.0647/6,0)</f>
        <v>223.31140299999996</v>
      </c>
      <c r="M31" s="11">
        <v>0</v>
      </c>
      <c r="P31" s="5"/>
      <c r="Q31" s="5"/>
      <c r="R31" s="5"/>
      <c r="S31" s="5"/>
      <c r="T31" s="5"/>
      <c r="U31" s="5"/>
      <c r="V31" s="5"/>
      <c r="W31" s="5"/>
    </row>
    <row r="32" spans="1:29" ht="14.65" thickBot="1" x14ac:dyDescent="0.5">
      <c r="A32" s="5"/>
      <c r="B32" s="166" t="s">
        <v>175</v>
      </c>
      <c r="C32" s="167"/>
      <c r="D32" s="5">
        <f>IF($C$28&lt;=250,Datos!G111,"")</f>
        <v>82.8</v>
      </c>
      <c r="E32" s="5" t="str">
        <f>IF(AND($C$13=$D$14,$C$15&lt;&gt;"",$C$15&lt;&gt;$G$13,$C$14=F17),Datos!G36,"")</f>
        <v/>
      </c>
      <c r="F32" s="5"/>
      <c r="G32" s="5" t="str">
        <f>IF(AND(C11=D6,$D12=$D$14,$C$14=F16),Datos!G36,"")</f>
        <v/>
      </c>
      <c r="H32" s="5" t="str">
        <f>IF(AND(OR($C$13=$D$15,$C$13=$D$16),$C$14=F17,C11=D6),Datos!G42,"")</f>
        <v/>
      </c>
      <c r="I32" s="5"/>
      <c r="J32" s="16" t="s">
        <v>171</v>
      </c>
      <c r="K32" s="55">
        <f>L62</f>
        <v>0.2228896215837218</v>
      </c>
      <c r="L32" s="54">
        <f>L4*K32</f>
        <v>675.26193975761191</v>
      </c>
      <c r="M32" s="57">
        <f>M4*K32</f>
        <v>564.23616145432845</v>
      </c>
      <c r="O32" s="5"/>
      <c r="P32" s="5"/>
      <c r="Q32" s="5"/>
      <c r="R32" s="5"/>
      <c r="S32" s="5"/>
      <c r="T32" s="5"/>
      <c r="U32" s="5"/>
      <c r="V32" s="5"/>
      <c r="W32" s="5"/>
    </row>
    <row r="33" spans="1:23" ht="14.65" thickBot="1" x14ac:dyDescent="0.5">
      <c r="A33" s="5"/>
      <c r="B33" s="27" t="s">
        <v>177</v>
      </c>
      <c r="C33" s="20" t="s">
        <v>144</v>
      </c>
      <c r="D33" s="5">
        <f>IF($C$28&lt;=300,Datos!G112,"")</f>
        <v>99.36</v>
      </c>
      <c r="E33" s="5" t="str">
        <f>IF(AND($C$13=$D$14,$C$15&lt;&gt;"",$C$15&lt;&gt;$G$13,$C$14=F18),Datos!G37,"")</f>
        <v/>
      </c>
      <c r="F33" s="5"/>
      <c r="G33" s="5" t="str">
        <f>IF(AND(C11=D6,$D12=$D$14,$C$14=F17),Datos!G37,"")</f>
        <v/>
      </c>
      <c r="H33" s="5"/>
      <c r="I33" s="5"/>
      <c r="O33" s="5" t="s">
        <v>182</v>
      </c>
      <c r="P33" s="5"/>
      <c r="Q33" s="5"/>
      <c r="R33" s="5"/>
      <c r="S33" s="5"/>
      <c r="T33" s="5"/>
      <c r="U33" s="5"/>
      <c r="V33" s="5"/>
      <c r="W33" s="5"/>
    </row>
    <row r="34" spans="1:23" ht="14.65" thickBot="1" x14ac:dyDescent="0.5">
      <c r="A34" s="5"/>
      <c r="B34" s="27" t="s">
        <v>197</v>
      </c>
      <c r="C34" s="148">
        <v>0</v>
      </c>
      <c r="D34" s="5">
        <f>IF($C$28&lt;=350,Datos!G113,"")</f>
        <v>115.92</v>
      </c>
      <c r="E34" s="5"/>
      <c r="F34" s="5" t="str">
        <f>IF(AND(OR($C$13=$D$15,$C$13=$D$16),$C$15&lt;&gt;"",$C$15&lt;&gt;$G$13,$C$14=F19),Datos!G44,"")</f>
        <v/>
      </c>
      <c r="G34" s="5" t="str">
        <f>IF(AND(C11=D6,$D12=$D$14,$C$14=F18),Datos!G38,"")</f>
        <v/>
      </c>
      <c r="H34" s="5"/>
      <c r="I34" s="5"/>
      <c r="J34" s="25"/>
      <c r="K34" s="25"/>
      <c r="L34" s="25"/>
      <c r="M34" s="25"/>
      <c r="O34" s="5" t="s">
        <v>183</v>
      </c>
      <c r="P34" s="5">
        <v>2400</v>
      </c>
      <c r="Q34" s="5">
        <v>2400</v>
      </c>
      <c r="R34" s="5"/>
      <c r="S34" s="5"/>
      <c r="T34" s="5"/>
      <c r="U34" s="5"/>
      <c r="V34" s="5"/>
      <c r="W34" s="5"/>
    </row>
    <row r="35" spans="1:23" ht="14.65" thickBot="1" x14ac:dyDescent="0.5">
      <c r="A35" s="5"/>
      <c r="B35" s="27" t="s">
        <v>196</v>
      </c>
      <c r="C35" s="148">
        <v>0</v>
      </c>
      <c r="D35" s="5">
        <f>IF($C$28&lt;=450,Datos!G114,"")</f>
        <v>132.47999999999999</v>
      </c>
      <c r="E35" s="5"/>
      <c r="F35" s="5"/>
      <c r="G35" s="5"/>
      <c r="H35" s="5"/>
      <c r="I35" s="5"/>
      <c r="J35" s="85" t="s">
        <v>173</v>
      </c>
      <c r="K35" s="86"/>
      <c r="L35" s="87"/>
      <c r="M35" s="25"/>
      <c r="O35" s="5" t="s">
        <v>184</v>
      </c>
      <c r="P35" s="5">
        <v>2700</v>
      </c>
      <c r="Q35" s="5">
        <f>Q34+P35</f>
        <v>5100</v>
      </c>
      <c r="R35" s="5"/>
      <c r="S35" s="5"/>
      <c r="T35" s="5"/>
      <c r="U35" s="5"/>
      <c r="V35" s="5"/>
      <c r="W35" s="5"/>
    </row>
    <row r="36" spans="1:23" ht="14.65" thickBot="1" x14ac:dyDescent="0.5">
      <c r="A36" s="5" t="s">
        <v>165</v>
      </c>
      <c r="B36" s="28" t="s">
        <v>180</v>
      </c>
      <c r="C36" s="20">
        <v>0</v>
      </c>
      <c r="D36" s="5">
        <f>IF($C$28&lt;=450,Datos!G115,"")</f>
        <v>149.04</v>
      </c>
      <c r="E36" s="5"/>
      <c r="F36" s="5"/>
      <c r="G36" s="5"/>
      <c r="H36" s="5"/>
      <c r="I36" s="5"/>
      <c r="J36" s="42" t="s">
        <v>174</v>
      </c>
      <c r="K36" s="43"/>
      <c r="L36" s="81">
        <f>L4*12+M4*2</f>
        <v>41417.879999999997</v>
      </c>
      <c r="O36" s="5" t="s">
        <v>185</v>
      </c>
      <c r="P36" s="5">
        <v>4000</v>
      </c>
      <c r="Q36" s="5">
        <f>Q35+P36</f>
        <v>9100</v>
      </c>
      <c r="R36" s="5"/>
      <c r="S36" s="5"/>
      <c r="T36" s="5"/>
      <c r="U36" s="5"/>
      <c r="V36" s="5"/>
      <c r="W36" s="5"/>
    </row>
    <row r="37" spans="1:23" ht="14.75" customHeight="1" thickBot="1" x14ac:dyDescent="0.5">
      <c r="A37" s="5" t="s">
        <v>166</v>
      </c>
      <c r="B37" s="27" t="s">
        <v>179</v>
      </c>
      <c r="C37" s="20">
        <v>0</v>
      </c>
      <c r="D37" s="5">
        <f>IF($C$28&lt;=1000050,Datos!G116,"")</f>
        <v>165.6</v>
      </c>
      <c r="E37" s="5"/>
      <c r="F37" s="5"/>
      <c r="G37" s="5"/>
      <c r="H37" s="5"/>
      <c r="I37" s="5"/>
      <c r="J37" s="9" t="s">
        <v>265</v>
      </c>
      <c r="K37" s="10"/>
      <c r="L37" s="11">
        <f>IF(AND(C48="Sí",L36&lt;33007.2),TRUNC(L36*0.02),0)</f>
        <v>0</v>
      </c>
      <c r="M37" s="24"/>
      <c r="N37" s="24"/>
      <c r="O37" s="5" t="s">
        <v>186</v>
      </c>
      <c r="P37" s="5">
        <v>4500</v>
      </c>
      <c r="Q37" s="5"/>
      <c r="R37" s="5"/>
      <c r="S37" s="5"/>
      <c r="T37" s="5"/>
      <c r="U37" s="5"/>
      <c r="V37" s="5"/>
      <c r="W37" s="5"/>
    </row>
    <row r="38" spans="1:23" ht="14.75" customHeight="1" thickBot="1" x14ac:dyDescent="0.5">
      <c r="A38" s="5" t="s">
        <v>167</v>
      </c>
      <c r="B38" s="29" t="s">
        <v>202</v>
      </c>
      <c r="C38" s="20" t="s">
        <v>144</v>
      </c>
      <c r="D38" s="5" t="str">
        <f>IF(B70=A69,"Sí","No")</f>
        <v>No</v>
      </c>
      <c r="E38" s="5"/>
      <c r="F38" s="5"/>
      <c r="G38" s="5"/>
      <c r="H38" s="5"/>
      <c r="I38" s="5"/>
      <c r="J38" s="9" t="s">
        <v>271</v>
      </c>
      <c r="K38" s="10"/>
      <c r="L38" s="11">
        <f>IF(L36-L39&lt;14047.5,6498,IF(L36-L39&lt;19747.5,6498-(1.14*(L36-L39-14047.5)),0))</f>
        <v>0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4.75" customHeight="1" thickBot="1" x14ac:dyDescent="0.5">
      <c r="A39" s="5" t="s">
        <v>188</v>
      </c>
      <c r="B39" s="27" t="s">
        <v>187</v>
      </c>
      <c r="C39" s="20" t="s">
        <v>188</v>
      </c>
      <c r="D39" s="5"/>
      <c r="E39" s="5"/>
      <c r="F39" s="5"/>
      <c r="G39" s="5"/>
      <c r="H39" s="5"/>
      <c r="I39" s="5"/>
      <c r="J39" s="42" t="s">
        <v>242</v>
      </c>
      <c r="K39" s="43"/>
      <c r="L39" s="81">
        <f>SUM(L27:L30)*14+SUM(M27:M30)*2</f>
        <v>0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4.75" customHeight="1" thickBot="1" x14ac:dyDescent="0.5">
      <c r="A40" s="5" t="s">
        <v>190</v>
      </c>
      <c r="B40" s="29" t="s">
        <v>195</v>
      </c>
      <c r="C40" s="20" t="s">
        <v>144</v>
      </c>
      <c r="D40" s="5"/>
      <c r="E40" s="5"/>
      <c r="F40" s="5"/>
      <c r="G40" s="5"/>
      <c r="H40" s="5"/>
      <c r="I40" s="5"/>
      <c r="J40" s="42" t="s">
        <v>247</v>
      </c>
      <c r="K40" s="43"/>
      <c r="L40" s="81">
        <f>C34+2000+M41</f>
        <v>2000</v>
      </c>
      <c r="M40" s="5"/>
      <c r="N40" s="5"/>
      <c r="O40" s="24"/>
      <c r="P40" s="5"/>
      <c r="Q40" s="5"/>
      <c r="R40" s="5"/>
      <c r="S40" s="5"/>
      <c r="T40" s="5"/>
      <c r="U40" s="5"/>
      <c r="V40" s="5"/>
      <c r="W40" s="5"/>
    </row>
    <row r="41" spans="1:23" ht="14.75" customHeight="1" thickBot="1" x14ac:dyDescent="0.5">
      <c r="A41" s="5" t="s">
        <v>189</v>
      </c>
      <c r="B41" s="27" t="s">
        <v>198</v>
      </c>
      <c r="C41" s="20">
        <v>0</v>
      </c>
      <c r="D41" s="5"/>
      <c r="E41" s="5"/>
      <c r="F41" s="5"/>
      <c r="G41" s="5"/>
      <c r="H41" s="5"/>
      <c r="I41" s="5"/>
      <c r="J41" s="42" t="s">
        <v>176</v>
      </c>
      <c r="K41" s="43"/>
      <c r="L41" s="81">
        <f>IF(C33="Sí",1150+5550,5550)</f>
        <v>5550</v>
      </c>
      <c r="M41" s="5">
        <f>IF(AND(C39=A42,C40="No"),3500,IF(OR(C39=A41,C39=A42),7750,0))</f>
        <v>0</v>
      </c>
      <c r="N41" s="5"/>
      <c r="O41" s="24"/>
      <c r="P41" s="5"/>
      <c r="Q41" s="5"/>
      <c r="R41" s="5"/>
      <c r="S41" s="5"/>
      <c r="T41" s="5"/>
      <c r="U41" s="5"/>
      <c r="V41" s="5"/>
      <c r="W41" s="5"/>
    </row>
    <row r="42" spans="1:23" ht="14.75" customHeight="1" x14ac:dyDescent="0.45">
      <c r="A42" s="5" t="s">
        <v>191</v>
      </c>
      <c r="B42" s="168" t="s">
        <v>213</v>
      </c>
      <c r="C42" s="170">
        <v>0</v>
      </c>
      <c r="D42" s="5"/>
      <c r="E42" s="5"/>
      <c r="F42" s="5"/>
      <c r="G42" s="5"/>
      <c r="H42" s="5"/>
      <c r="I42" s="5"/>
      <c r="J42" s="42" t="s">
        <v>178</v>
      </c>
      <c r="K42" s="43"/>
      <c r="L42" s="81">
        <f>SUM(C71:C74)</f>
        <v>0</v>
      </c>
      <c r="M42" s="5"/>
      <c r="N42" s="5"/>
      <c r="O42" s="24"/>
      <c r="P42" s="5"/>
      <c r="Q42" s="5"/>
      <c r="R42" s="5"/>
      <c r="S42" s="5"/>
      <c r="T42" s="5"/>
      <c r="U42" s="5"/>
      <c r="V42" s="5"/>
      <c r="W42" s="5"/>
    </row>
    <row r="43" spans="1:23" ht="14.75" customHeight="1" x14ac:dyDescent="0.45">
      <c r="A43" s="5"/>
      <c r="B43" s="168"/>
      <c r="C43" s="171"/>
      <c r="D43" s="5"/>
      <c r="E43" s="5"/>
      <c r="F43" s="5"/>
      <c r="G43" s="5"/>
      <c r="H43" s="5"/>
      <c r="I43" s="5"/>
      <c r="J43" s="42" t="s">
        <v>181</v>
      </c>
      <c r="K43" s="43"/>
      <c r="L43" s="81">
        <f>IF(C38="no",M49/2+1400*C37,M49+2800*C37)</f>
        <v>0</v>
      </c>
      <c r="M43" s="5"/>
      <c r="N43" s="5"/>
      <c r="O43" s="24"/>
      <c r="P43" s="5"/>
      <c r="Q43" s="5"/>
      <c r="R43" s="5"/>
      <c r="S43" s="5"/>
      <c r="T43" s="5"/>
      <c r="U43" s="5"/>
      <c r="V43" s="5"/>
      <c r="W43" s="5"/>
    </row>
    <row r="44" spans="1:23" ht="14.75" customHeight="1" thickBot="1" x14ac:dyDescent="0.5">
      <c r="A44" s="5"/>
      <c r="B44" s="169"/>
      <c r="C44" s="172"/>
      <c r="D44" s="5"/>
      <c r="E44" s="5"/>
      <c r="F44" s="5"/>
      <c r="G44" s="5"/>
      <c r="H44" s="5"/>
      <c r="I44" s="5"/>
      <c r="J44" s="42" t="s">
        <v>192</v>
      </c>
      <c r="K44" s="43"/>
      <c r="L44" s="81">
        <f>IF(C39=A41,9000,IF(C39=A42,3000,0))</f>
        <v>0</v>
      </c>
      <c r="M44" s="5"/>
      <c r="N44" s="5"/>
      <c r="O44" s="24"/>
      <c r="P44" s="5"/>
      <c r="Q44" s="5"/>
      <c r="R44" s="5"/>
      <c r="S44" s="5"/>
      <c r="T44" s="5"/>
      <c r="U44" s="5"/>
      <c r="V44" s="5"/>
      <c r="W44" s="5"/>
    </row>
    <row r="45" spans="1:23" ht="14.75" customHeight="1" x14ac:dyDescent="0.45">
      <c r="A45" s="5"/>
      <c r="B45" s="173" t="s">
        <v>213</v>
      </c>
      <c r="C45" s="170">
        <v>0</v>
      </c>
      <c r="D45" s="5"/>
      <c r="E45" s="5"/>
      <c r="F45" s="5"/>
      <c r="G45" s="5"/>
      <c r="H45" s="5"/>
      <c r="I45" s="5"/>
      <c r="J45" s="42" t="s">
        <v>193</v>
      </c>
      <c r="K45" s="43"/>
      <c r="L45" s="81">
        <f>SUM(C75:C78)</f>
        <v>0</v>
      </c>
      <c r="M45" s="5"/>
      <c r="N45" s="5"/>
      <c r="O45" s="24"/>
      <c r="P45" s="5"/>
      <c r="Q45" s="5"/>
      <c r="R45" s="5"/>
      <c r="S45" s="5"/>
      <c r="T45" s="5"/>
      <c r="U45" s="5"/>
      <c r="V45" s="5"/>
      <c r="W45" s="5"/>
    </row>
    <row r="46" spans="1:23" ht="14.75" customHeight="1" x14ac:dyDescent="0.45">
      <c r="A46" s="5"/>
      <c r="B46" s="168"/>
      <c r="C46" s="171"/>
      <c r="D46" s="5"/>
      <c r="E46" s="5"/>
      <c r="F46" s="5"/>
      <c r="G46" s="5"/>
      <c r="H46" s="5"/>
      <c r="I46" s="5"/>
      <c r="J46" s="42" t="s">
        <v>194</v>
      </c>
      <c r="K46" s="43"/>
      <c r="L46" s="81">
        <f>IF(C38="Sí",M51,M51/2)</f>
        <v>0</v>
      </c>
      <c r="M46" s="5"/>
      <c r="N46" s="5"/>
      <c r="O46" s="24"/>
      <c r="P46" s="5"/>
      <c r="Q46" s="5"/>
      <c r="R46" s="5"/>
      <c r="S46" s="5"/>
      <c r="T46" s="5"/>
      <c r="U46" s="5"/>
      <c r="V46" s="5"/>
      <c r="W46" s="5"/>
    </row>
    <row r="47" spans="1:23" ht="14.75" customHeight="1" thickBot="1" x14ac:dyDescent="0.5">
      <c r="A47" s="5"/>
      <c r="B47" s="169"/>
      <c r="C47" s="172"/>
      <c r="D47" s="5"/>
      <c r="E47" s="5"/>
      <c r="F47" s="5"/>
      <c r="G47" s="5"/>
      <c r="H47" s="5"/>
      <c r="I47" s="5"/>
      <c r="J47" s="42" t="s">
        <v>212</v>
      </c>
      <c r="K47" s="43"/>
      <c r="L47" s="81">
        <f>IF(OR(C40="Sí",C39=A41),3000,0)</f>
        <v>0</v>
      </c>
      <c r="M47" s="5"/>
      <c r="N47" s="5"/>
      <c r="O47" s="24"/>
      <c r="P47" s="5"/>
      <c r="Q47" s="5"/>
      <c r="R47" s="5"/>
      <c r="S47" s="5"/>
      <c r="T47" s="5"/>
      <c r="U47" s="5"/>
      <c r="V47" s="5"/>
      <c r="W47" s="5"/>
    </row>
    <row r="48" spans="1:23" ht="14.75" customHeight="1" thickBot="1" x14ac:dyDescent="0.5">
      <c r="A48" s="24"/>
      <c r="B48" s="27" t="s">
        <v>273</v>
      </c>
      <c r="C48" s="20" t="s">
        <v>144</v>
      </c>
      <c r="D48" s="5"/>
      <c r="E48" s="5"/>
      <c r="F48" s="5"/>
      <c r="G48" s="5"/>
      <c r="H48" s="5"/>
      <c r="I48" s="5"/>
      <c r="J48" s="9" t="s">
        <v>214</v>
      </c>
      <c r="K48" s="10"/>
      <c r="L48" s="11">
        <f>SUM(L41:L47)</f>
        <v>5550</v>
      </c>
      <c r="M48" s="5"/>
      <c r="N48" s="5"/>
      <c r="O48" s="24"/>
      <c r="P48" s="5"/>
      <c r="Q48" s="5"/>
      <c r="R48" s="5"/>
      <c r="S48" s="5"/>
      <c r="T48" s="5"/>
      <c r="U48" s="5"/>
      <c r="V48" s="5"/>
      <c r="W48" s="5"/>
    </row>
    <row r="49" spans="1:23" ht="14.75" customHeight="1" thickBot="1" x14ac:dyDescent="0.5">
      <c r="A49" s="24"/>
      <c r="B49" s="27" t="s">
        <v>266</v>
      </c>
      <c r="C49" s="149"/>
      <c r="D49" s="5"/>
      <c r="E49" s="5"/>
      <c r="F49" s="5"/>
      <c r="G49" s="5"/>
      <c r="H49" s="5"/>
      <c r="I49" s="5"/>
      <c r="J49" s="9" t="s">
        <v>215</v>
      </c>
      <c r="K49" s="10"/>
      <c r="L49" s="11">
        <f>MAX(0,L36-L39-L40-L38)</f>
        <v>39417.879999999997</v>
      </c>
      <c r="M49" s="5">
        <f>IF(C36=1,Q34,IF(C36=2,Q35,IF(C36=3,Q36,IF(C36&lt;1,0,Q36+4500*(C36-3)))))</f>
        <v>0</v>
      </c>
      <c r="N49" s="5"/>
      <c r="O49" s="24"/>
      <c r="P49" s="5"/>
      <c r="Q49" s="5"/>
      <c r="R49" s="5"/>
      <c r="S49" s="5"/>
      <c r="T49" s="5"/>
      <c r="U49" s="5"/>
      <c r="V49" s="5"/>
      <c r="W49" s="5"/>
    </row>
    <row r="50" spans="1:23" ht="14.75" customHeight="1" thickBot="1" x14ac:dyDescent="0.5">
      <c r="A50" s="24"/>
      <c r="B50" s="30" t="s">
        <v>199</v>
      </c>
      <c r="C50" s="141"/>
      <c r="D50" s="5"/>
      <c r="E50" s="5"/>
      <c r="F50" s="5"/>
      <c r="G50" s="5"/>
      <c r="H50" s="5"/>
      <c r="I50" s="5"/>
      <c r="J50" s="9" t="s">
        <v>216</v>
      </c>
      <c r="K50" s="10"/>
      <c r="L50" s="11">
        <f>IF(L48&gt;12450,0,MAX(0,MIN(12450,L49)-L48))</f>
        <v>6900</v>
      </c>
      <c r="M50" s="5"/>
      <c r="N50" s="5"/>
      <c r="O50" s="24"/>
      <c r="P50" s="5"/>
      <c r="Q50" s="5"/>
      <c r="R50" s="5"/>
      <c r="S50" s="5"/>
      <c r="T50" s="5"/>
      <c r="U50" s="5"/>
      <c r="V50" s="5"/>
      <c r="W50" s="5"/>
    </row>
    <row r="51" spans="1:23" ht="14.75" customHeight="1" thickBot="1" x14ac:dyDescent="0.5">
      <c r="A51" s="24"/>
      <c r="B51" s="30" t="s">
        <v>200</v>
      </c>
      <c r="C51" s="141"/>
      <c r="D51" s="5"/>
      <c r="E51" s="5"/>
      <c r="F51" s="5"/>
      <c r="G51" s="5"/>
      <c r="H51" s="5"/>
      <c r="I51" s="5"/>
      <c r="J51" s="9" t="s">
        <v>217</v>
      </c>
      <c r="K51" s="10"/>
      <c r="L51" s="11">
        <f>IF(IF(L48&gt;20200,0,IF(L49&gt;20200,MIN(20200-L48,20200-12450),MIN(L49-L48,L49-12450)))&lt;0,0,IF(L48&gt;20200,0,IF(L49&gt;20200,MIN(20200-L48,20200-12450),MIN(L49-L48,L49-12450))))</f>
        <v>7750</v>
      </c>
      <c r="M51" s="5">
        <f>C41*12000+C42*6000+C45*3000</f>
        <v>0</v>
      </c>
      <c r="N51" s="5"/>
      <c r="O51" s="24"/>
      <c r="P51" s="5"/>
      <c r="Q51" s="5"/>
      <c r="R51" s="5"/>
      <c r="S51" s="5"/>
      <c r="T51" s="5"/>
      <c r="U51" s="5"/>
      <c r="V51" s="5"/>
      <c r="W51" s="5"/>
    </row>
    <row r="52" spans="1:23" ht="14.75" customHeight="1" thickBot="1" x14ac:dyDescent="0.5">
      <c r="A52" s="24"/>
      <c r="B52" s="30" t="s">
        <v>207</v>
      </c>
      <c r="C52" s="20"/>
      <c r="D52" s="5"/>
      <c r="E52" s="5"/>
      <c r="F52" s="5"/>
      <c r="G52" s="5"/>
      <c r="H52" s="5"/>
      <c r="I52" s="5"/>
      <c r="J52" s="9" t="s">
        <v>218</v>
      </c>
      <c r="K52" s="10"/>
      <c r="L52" s="11">
        <f>IF(IF(L48&gt;35200,0,IF(L49&gt;35200,MIN(35200-L48,35200-20200),MIN(L49-L48,L49-20200)))&lt;0,0,IF(L48&gt;35200,0,IF(L49&gt;35200,MIN(35200-L48,35200-20200),MIN(L49-L48,L49-20200))))</f>
        <v>15000</v>
      </c>
      <c r="M52" s="5"/>
      <c r="N52" s="5"/>
      <c r="O52" s="24"/>
      <c r="P52" s="5"/>
      <c r="Q52" s="5"/>
      <c r="R52" s="5"/>
      <c r="S52" s="5"/>
      <c r="T52" s="5"/>
      <c r="U52" s="5"/>
      <c r="V52" s="5"/>
      <c r="W52" s="5"/>
    </row>
    <row r="53" spans="1:23" ht="14.75" customHeight="1" thickBot="1" x14ac:dyDescent="0.5">
      <c r="A53" s="5"/>
      <c r="B53" s="31" t="s">
        <v>201</v>
      </c>
      <c r="C53" s="141"/>
      <c r="D53" s="5"/>
      <c r="E53" s="5"/>
      <c r="F53" s="5"/>
      <c r="G53" s="5"/>
      <c r="H53" s="5"/>
      <c r="I53" s="5"/>
      <c r="J53" s="9" t="s">
        <v>219</v>
      </c>
      <c r="K53" s="10"/>
      <c r="L53" s="11">
        <f>IF(IF(L48&gt;60000,0,IF(L49&gt;60000,MIN(35200-L48,60000-35200),MIN(L49-L48,L49-35200)))&lt;0,0,IF(L48&gt;60000,0,IF(L49&gt;60000,MIN(35200-L48,60000-35200),MIN(L49-L48,L49-35200))))</f>
        <v>4217.8799999999974</v>
      </c>
      <c r="M53" s="5"/>
      <c r="N53" s="5"/>
      <c r="O53" s="24"/>
      <c r="P53" s="5"/>
      <c r="Q53" s="5"/>
      <c r="R53" s="5"/>
      <c r="S53" s="5"/>
      <c r="T53" s="5"/>
      <c r="U53" s="5"/>
      <c r="V53" s="5"/>
      <c r="W53" s="5"/>
    </row>
    <row r="54" spans="1:23" ht="14.75" customHeight="1" thickBot="1" x14ac:dyDescent="0.5">
      <c r="A54" s="5"/>
      <c r="B54" s="27" t="s">
        <v>267</v>
      </c>
      <c r="C54" s="149"/>
      <c r="H54" s="5"/>
      <c r="I54" s="5"/>
      <c r="J54" s="9" t="s">
        <v>220</v>
      </c>
      <c r="K54" s="10"/>
      <c r="L54" s="11">
        <f>IF(IF(L48&gt;30000,0,IF(L49&gt;300000,MIN(60000-L48,300000-60000),MIN(L49-L48,L49-60000)))&lt;0,0,IF(L48&gt;30000,0,IF(L49&gt;300000,MIN(60000-L48,300000-60000),MIN(L49-L48,L49-60000))))</f>
        <v>0</v>
      </c>
      <c r="M54" s="5"/>
      <c r="N54" s="5"/>
      <c r="O54" s="24"/>
      <c r="P54" s="5"/>
      <c r="Q54" s="5"/>
      <c r="R54" s="5"/>
      <c r="S54" s="5"/>
      <c r="T54" s="5"/>
      <c r="U54" s="5"/>
      <c r="V54" s="5"/>
      <c r="W54" s="5"/>
    </row>
    <row r="55" spans="1:23" ht="14.75" customHeight="1" thickBot="1" x14ac:dyDescent="0.5">
      <c r="A55" s="5"/>
      <c r="B55" s="30" t="s">
        <v>199</v>
      </c>
      <c r="C55" s="141"/>
      <c r="H55" s="5"/>
      <c r="I55" s="5"/>
      <c r="J55" s="9" t="s">
        <v>221</v>
      </c>
      <c r="K55" s="10"/>
      <c r="L55" s="11">
        <f>ROUND(L50*0.19,2)</f>
        <v>1311</v>
      </c>
      <c r="M55" s="5"/>
      <c r="N55" s="5"/>
      <c r="O55" s="24"/>
      <c r="P55" s="5"/>
      <c r="Q55" s="5"/>
      <c r="R55" s="5"/>
      <c r="S55" s="5"/>
      <c r="T55" s="5"/>
      <c r="U55" s="5"/>
      <c r="V55" s="5"/>
      <c r="W55" s="5"/>
    </row>
    <row r="56" spans="1:23" ht="14.75" customHeight="1" thickBot="1" x14ac:dyDescent="0.5">
      <c r="A56" s="5"/>
      <c r="B56" s="30" t="s">
        <v>200</v>
      </c>
      <c r="C56" s="141"/>
      <c r="G56" s="5"/>
      <c r="H56" s="5"/>
      <c r="I56" s="5"/>
      <c r="J56" s="9" t="s">
        <v>222</v>
      </c>
      <c r="K56" s="10"/>
      <c r="L56" s="11">
        <f>ROUND(L51*0.24,2)</f>
        <v>1860</v>
      </c>
      <c r="M56" s="5"/>
      <c r="N56" s="5"/>
      <c r="P56" s="5"/>
      <c r="Q56" s="5"/>
      <c r="R56" s="5"/>
      <c r="S56" s="5"/>
      <c r="T56" s="5"/>
      <c r="U56" s="5"/>
      <c r="V56" s="5"/>
      <c r="W56" s="5"/>
    </row>
    <row r="57" spans="1:23" ht="14.75" customHeight="1" thickBot="1" x14ac:dyDescent="0.5">
      <c r="A57" s="5"/>
      <c r="B57" s="30" t="s">
        <v>207</v>
      </c>
      <c r="C57" s="20"/>
      <c r="G57" s="5"/>
      <c r="H57" s="5"/>
      <c r="I57" s="5"/>
      <c r="J57" s="9" t="s">
        <v>223</v>
      </c>
      <c r="K57" s="10"/>
      <c r="L57" s="11">
        <f>ROUND(L52*0.3,2)</f>
        <v>4500</v>
      </c>
      <c r="M57" s="5"/>
      <c r="N57" s="5"/>
      <c r="P57" s="5"/>
      <c r="Q57" s="5"/>
      <c r="R57" s="5"/>
      <c r="S57" s="5"/>
      <c r="T57" s="5"/>
      <c r="U57" s="5"/>
      <c r="V57" s="5"/>
      <c r="W57" s="5"/>
    </row>
    <row r="58" spans="1:23" ht="14.75" customHeight="1" thickBot="1" x14ac:dyDescent="0.5">
      <c r="A58" s="5"/>
      <c r="B58" s="31" t="s">
        <v>201</v>
      </c>
      <c r="C58" s="141"/>
      <c r="G58" s="5"/>
      <c r="H58" s="5"/>
      <c r="I58" s="5"/>
      <c r="J58" s="9" t="s">
        <v>224</v>
      </c>
      <c r="K58" s="10"/>
      <c r="L58" s="11">
        <f>ROUND(L53*0.37,2)</f>
        <v>1560.62</v>
      </c>
      <c r="P58" s="5"/>
      <c r="Q58" s="5"/>
      <c r="R58" s="5"/>
      <c r="S58" s="5"/>
      <c r="T58" s="5"/>
      <c r="U58" s="5"/>
      <c r="V58" s="5"/>
      <c r="W58" s="5"/>
    </row>
    <row r="59" spans="1:23" ht="14.65" thickBot="1" x14ac:dyDescent="0.5">
      <c r="A59" s="5"/>
      <c r="B59" s="27" t="s">
        <v>268</v>
      </c>
      <c r="C59" s="149"/>
      <c r="G59" s="5"/>
      <c r="H59" s="5"/>
      <c r="I59" s="5"/>
      <c r="J59" s="9" t="s">
        <v>225</v>
      </c>
      <c r="K59" s="10"/>
      <c r="L59" s="11">
        <f>ROUND(L54*0.45,2)</f>
        <v>0</v>
      </c>
      <c r="P59" s="5"/>
      <c r="Q59" s="5"/>
      <c r="R59" s="5"/>
      <c r="S59" s="5"/>
      <c r="T59" s="5"/>
      <c r="U59" s="5"/>
      <c r="V59" s="5"/>
      <c r="W59" s="5"/>
    </row>
    <row r="60" spans="1:23" ht="14.65" thickBot="1" x14ac:dyDescent="0.5">
      <c r="A60" s="5"/>
      <c r="B60" s="30" t="s">
        <v>199</v>
      </c>
      <c r="C60" s="141"/>
      <c r="G60" s="5"/>
      <c r="H60" s="5"/>
      <c r="I60" s="5"/>
      <c r="J60" s="9" t="s">
        <v>272</v>
      </c>
      <c r="K60" s="10"/>
      <c r="L60" s="56">
        <f>SUM(L55:L59)</f>
        <v>9231.619999999999</v>
      </c>
      <c r="P60" s="5"/>
      <c r="Q60" s="5"/>
      <c r="R60" s="5"/>
      <c r="S60" s="5"/>
      <c r="T60" s="5"/>
      <c r="U60" s="5"/>
      <c r="V60" s="5"/>
      <c r="W60" s="5"/>
    </row>
    <row r="61" spans="1:23" ht="14.65" thickBot="1" x14ac:dyDescent="0.5">
      <c r="A61" s="5"/>
      <c r="B61" s="30" t="s">
        <v>200</v>
      </c>
      <c r="C61" s="141"/>
      <c r="G61" s="5"/>
      <c r="H61" s="5"/>
      <c r="I61" s="5"/>
      <c r="J61" s="9" t="s">
        <v>270</v>
      </c>
      <c r="K61" s="10"/>
      <c r="L61" s="56">
        <f>MAX(0,C130-L37)</f>
        <v>9231.6155999999992</v>
      </c>
      <c r="P61" s="5"/>
      <c r="Q61" s="5"/>
      <c r="R61" s="5"/>
      <c r="S61" s="5"/>
      <c r="T61" s="5"/>
      <c r="U61" s="5"/>
      <c r="V61" s="5"/>
      <c r="W61" s="5"/>
    </row>
    <row r="62" spans="1:23" ht="14.65" thickBot="1" x14ac:dyDescent="0.5">
      <c r="A62" s="5"/>
      <c r="B62" s="32" t="s">
        <v>207</v>
      </c>
      <c r="C62" s="20"/>
      <c r="G62" s="5"/>
      <c r="H62" s="5"/>
      <c r="I62" s="5"/>
      <c r="J62" s="91" t="s">
        <v>226</v>
      </c>
      <c r="K62" s="92"/>
      <c r="L62" s="93">
        <f>IF(M62&lt;0.02,0.02,M62)</f>
        <v>0.2228896215837218</v>
      </c>
      <c r="M62" s="5">
        <f>IF(L61&lt;L60,L61/L36,L60/L36)</f>
        <v>0.2228896215837218</v>
      </c>
    </row>
    <row r="63" spans="1:23" ht="14.65" thickBot="1" x14ac:dyDescent="0.5">
      <c r="A63" s="5"/>
      <c r="B63" s="31" t="s">
        <v>201</v>
      </c>
      <c r="C63" s="141"/>
      <c r="G63" s="5"/>
      <c r="H63" s="5"/>
      <c r="I63" s="5"/>
    </row>
    <row r="64" spans="1:23" ht="14.65" thickBot="1" x14ac:dyDescent="0.5">
      <c r="A64" s="5"/>
      <c r="B64" s="27" t="s">
        <v>269</v>
      </c>
      <c r="C64" s="149"/>
      <c r="G64" s="5"/>
      <c r="H64" s="5"/>
      <c r="I64" s="5"/>
      <c r="J64" s="85" t="s">
        <v>228</v>
      </c>
      <c r="K64" s="88"/>
      <c r="L64" s="89"/>
    </row>
    <row r="65" spans="1:12" ht="14.65" thickBot="1" x14ac:dyDescent="0.5">
      <c r="A65" s="5"/>
      <c r="B65" s="30" t="s">
        <v>199</v>
      </c>
      <c r="C65" s="141"/>
      <c r="G65" s="5"/>
      <c r="H65" s="5"/>
      <c r="I65" s="5"/>
      <c r="J65" s="9" t="s">
        <v>230</v>
      </c>
      <c r="K65" s="7"/>
      <c r="L65" s="82">
        <v>4.7E-2</v>
      </c>
    </row>
    <row r="66" spans="1:12" ht="14.65" thickBot="1" x14ac:dyDescent="0.5">
      <c r="A66" s="5"/>
      <c r="B66" s="30" t="s">
        <v>200</v>
      </c>
      <c r="C66" s="141"/>
      <c r="G66" s="5"/>
      <c r="H66" s="5"/>
      <c r="I66" s="5"/>
      <c r="J66" s="9" t="s">
        <v>231</v>
      </c>
      <c r="K66" s="7"/>
      <c r="L66" s="82">
        <v>1.1999999999999999E-3</v>
      </c>
    </row>
    <row r="67" spans="1:12" ht="14.65" thickBot="1" x14ac:dyDescent="0.5">
      <c r="A67" s="5"/>
      <c r="B67" s="32" t="s">
        <v>207</v>
      </c>
      <c r="C67" s="20"/>
      <c r="G67" s="5"/>
      <c r="H67" s="5"/>
      <c r="I67" s="5"/>
      <c r="J67" s="9" t="s">
        <v>236</v>
      </c>
      <c r="K67" s="7"/>
      <c r="L67" s="82">
        <v>0.28299999999999997</v>
      </c>
    </row>
    <row r="68" spans="1:12" ht="14.65" thickBot="1" x14ac:dyDescent="0.5">
      <c r="A68" s="5"/>
      <c r="B68" s="32" t="s">
        <v>201</v>
      </c>
      <c r="C68" s="141"/>
      <c r="G68" s="5"/>
      <c r="H68" s="5"/>
      <c r="I68" s="5"/>
      <c r="J68" s="9" t="s">
        <v>235</v>
      </c>
      <c r="K68" s="7"/>
      <c r="L68" s="46">
        <v>1.0999999999999999E-2</v>
      </c>
    </row>
    <row r="69" spans="1:12" ht="14.65" thickBot="1" x14ac:dyDescent="0.5">
      <c r="A69" s="35" t="s">
        <v>246</v>
      </c>
      <c r="B69" s="28" t="s">
        <v>243</v>
      </c>
      <c r="C69" s="80">
        <f>IF(B70=A69,1,IF(B70=A70,2,IF(B70=A71,3,0)))</f>
        <v>3</v>
      </c>
      <c r="G69" s="5"/>
      <c r="H69" s="5"/>
      <c r="I69" s="5"/>
      <c r="J69" s="91" t="s">
        <v>234</v>
      </c>
      <c r="K69" s="92"/>
      <c r="L69" s="94">
        <f>L65+L66-(L67*L68)</f>
        <v>4.5087000000000002E-2</v>
      </c>
    </row>
    <row r="70" spans="1:12" ht="42" customHeight="1" thickBot="1" x14ac:dyDescent="0.5">
      <c r="A70" s="35" t="s">
        <v>244</v>
      </c>
      <c r="B70" s="156" t="s">
        <v>245</v>
      </c>
      <c r="C70" s="157"/>
      <c r="G70" s="5"/>
      <c r="H70" s="5"/>
      <c r="I70" s="5"/>
    </row>
    <row r="71" spans="1:12" x14ac:dyDescent="0.45">
      <c r="A71" s="35" t="s">
        <v>245</v>
      </c>
      <c r="B71" s="5" t="s">
        <v>203</v>
      </c>
      <c r="C71" s="5">
        <f>IF(C50&gt;=75,ROUND((1150+1400)/C53,2),IF(C50&gt;=65,ROUND(1150/C53,2),0))</f>
        <v>0</v>
      </c>
      <c r="G71" s="5"/>
      <c r="H71" s="5"/>
      <c r="I71" s="5"/>
      <c r="J71" s="85" t="s">
        <v>229</v>
      </c>
      <c r="K71" s="88"/>
      <c r="L71" s="89"/>
    </row>
    <row r="72" spans="1:12" x14ac:dyDescent="0.45">
      <c r="A72" s="5"/>
      <c r="B72" s="5" t="s">
        <v>204</v>
      </c>
      <c r="C72" s="5">
        <f>IF(C55&gt;=75,ROUND((1150+1400)/C58,2),IF(C55&gt;=65,ROUND(1150/C58,2),0))</f>
        <v>0</v>
      </c>
      <c r="D72" s="5"/>
      <c r="E72" s="5"/>
      <c r="F72" s="5"/>
      <c r="G72" s="5"/>
      <c r="H72" s="5"/>
      <c r="I72" s="5"/>
      <c r="J72" s="9" t="s">
        <v>230</v>
      </c>
      <c r="K72" s="7"/>
      <c r="L72" s="82">
        <v>4.7E-2</v>
      </c>
    </row>
    <row r="73" spans="1:12" x14ac:dyDescent="0.45">
      <c r="A73" s="5"/>
      <c r="B73" s="5" t="s">
        <v>205</v>
      </c>
      <c r="C73" s="5">
        <f>IF(C60&gt;=75,ROUND((1150+1400)/C63,2),IF(C60&gt;=65,ROUND(1150/C63,2),0))</f>
        <v>0</v>
      </c>
      <c r="D73" s="5"/>
      <c r="E73" s="5"/>
      <c r="F73" s="5"/>
      <c r="G73" s="5"/>
      <c r="H73" s="5"/>
      <c r="I73" s="5"/>
      <c r="J73" s="9" t="s">
        <v>231</v>
      </c>
      <c r="K73" s="7"/>
      <c r="L73" s="82">
        <v>1.1999999999999999E-3</v>
      </c>
    </row>
    <row r="74" spans="1:12" x14ac:dyDescent="0.45">
      <c r="A74" s="5"/>
      <c r="B74" s="5" t="s">
        <v>206</v>
      </c>
      <c r="C74" s="5">
        <f>IF(C65&gt;=75,ROUND((1150+1400)/C68,2),IF(C65&gt;=65,ROUND(1150/C68,2),0))</f>
        <v>0</v>
      </c>
      <c r="D74" s="5"/>
      <c r="E74" s="5"/>
      <c r="F74" s="5"/>
      <c r="G74" s="5"/>
      <c r="H74" s="5"/>
      <c r="I74" s="5"/>
      <c r="J74" s="9" t="s">
        <v>232</v>
      </c>
      <c r="K74" s="7"/>
      <c r="L74" s="82">
        <v>1.55E-2</v>
      </c>
    </row>
    <row r="75" spans="1:12" x14ac:dyDescent="0.45">
      <c r="A75" s="25"/>
      <c r="B75" s="5" t="s">
        <v>208</v>
      </c>
      <c r="C75" s="5">
        <f>IF(C50&lt;65,0,IF(C51=A41,ROUND(12000/C53,2),IF(AND(C51=A42,C52="No"),ROUND(3000/C53,2),IF(AND(C51=A42,C52="Sí"),ROUND(6000/C53,2),""))))</f>
        <v>0</v>
      </c>
      <c r="D75" s="5"/>
      <c r="E75" s="5"/>
      <c r="F75" s="5"/>
      <c r="G75" s="5"/>
      <c r="H75" s="5"/>
      <c r="I75" s="5"/>
      <c r="J75" s="9" t="s">
        <v>233</v>
      </c>
      <c r="K75" s="7"/>
      <c r="L75" s="82">
        <v>1E-3</v>
      </c>
    </row>
    <row r="76" spans="1:12" ht="14.65" thickBot="1" x14ac:dyDescent="0.5">
      <c r="A76" s="25"/>
      <c r="B76" s="5" t="s">
        <v>209</v>
      </c>
      <c r="C76" s="5">
        <f>IF(C55&lt;65,0,IF(C56=A41,ROUND(12000/C58,2),IF(AND(C56=A42,C57="No"),ROUND(3000/C58,2),IF(AND(C56=A42,C57="Sí"),ROUND(6000/C58,2),""))))</f>
        <v>0</v>
      </c>
      <c r="D76" s="5"/>
      <c r="E76" s="5"/>
      <c r="F76" s="5"/>
      <c r="G76" s="5"/>
      <c r="H76" s="5"/>
      <c r="I76" s="5"/>
      <c r="J76" s="91" t="s">
        <v>234</v>
      </c>
      <c r="K76" s="92"/>
      <c r="L76" s="93">
        <f>SUM(L72:L75)</f>
        <v>6.4700000000000008E-2</v>
      </c>
    </row>
    <row r="77" spans="1:12" x14ac:dyDescent="0.45">
      <c r="A77" s="25"/>
      <c r="B77" s="5" t="s">
        <v>210</v>
      </c>
      <c r="C77" s="5">
        <f>IF(C60&lt;65,0,IF(C61=A41,ROUND(12000/C63,2),IF(AND(C61=A42,C62="No"),ROUND(3000/C63,2),IF(AND(C61=A42,C62="Sí"),ROUND(6000/C63,2),""))))</f>
        <v>0</v>
      </c>
      <c r="D77" s="5"/>
      <c r="E77" s="5"/>
      <c r="F77" s="5"/>
      <c r="G77" s="5"/>
      <c r="H77" s="5"/>
      <c r="I77" s="5"/>
    </row>
    <row r="78" spans="1:12" x14ac:dyDescent="0.45">
      <c r="A78" s="25"/>
      <c r="B78" s="5" t="s">
        <v>211</v>
      </c>
      <c r="C78" s="5">
        <f>IF(C65&lt;65,0,IF(C66=A41,ROUND(12000/C68,2),IF(AND(C66=A42,C67="No"),ROUND(3000/C68,2),IF(AND(C66=A42,C67="Sí"),ROUND(6000/C68,2),""))))</f>
        <v>0</v>
      </c>
      <c r="D78" s="5"/>
      <c r="E78" s="5"/>
      <c r="F78" s="5"/>
      <c r="G78" s="5"/>
      <c r="H78" s="5"/>
      <c r="I78" s="5"/>
    </row>
    <row r="79" spans="1:12" x14ac:dyDescent="0.45">
      <c r="A79" s="25"/>
      <c r="B79" s="5"/>
      <c r="C79" s="5"/>
      <c r="I79" s="5"/>
    </row>
    <row r="80" spans="1:12" x14ac:dyDescent="0.45">
      <c r="A80" s="25"/>
      <c r="B80" s="5" t="s">
        <v>248</v>
      </c>
      <c r="C80" s="5"/>
      <c r="I80" s="5"/>
    </row>
    <row r="81" spans="1:9" x14ac:dyDescent="0.45">
      <c r="A81" s="25"/>
      <c r="B81" s="5" t="s">
        <v>249</v>
      </c>
      <c r="C81" s="39">
        <f>L49-C35</f>
        <v>39417.879999999997</v>
      </c>
      <c r="I81" s="5"/>
    </row>
    <row r="82" spans="1:9" x14ac:dyDescent="0.45">
      <c r="A82" s="25"/>
      <c r="B82" s="5" t="s">
        <v>250</v>
      </c>
      <c r="C82" s="39">
        <f>C35</f>
        <v>0</v>
      </c>
      <c r="I82" s="5"/>
    </row>
    <row r="83" spans="1:9" x14ac:dyDescent="0.45">
      <c r="A83" s="25"/>
      <c r="B83" s="5" t="s">
        <v>251</v>
      </c>
      <c r="C83" s="40">
        <f>MAX(B85:B90)</f>
        <v>10286.115599999999</v>
      </c>
      <c r="I83" s="5"/>
    </row>
    <row r="84" spans="1:9" x14ac:dyDescent="0.45">
      <c r="A84" s="25"/>
      <c r="B84" s="5" t="s">
        <v>253</v>
      </c>
      <c r="C84" s="5"/>
      <c r="I84" s="5"/>
    </row>
    <row r="85" spans="1:9" x14ac:dyDescent="0.45">
      <c r="A85" s="25"/>
      <c r="B85" s="5" t="str">
        <f>IF(C81&lt;12450,0+(C81)*0.19,"")</f>
        <v/>
      </c>
      <c r="C85" s="5"/>
      <c r="I85" s="5"/>
    </row>
    <row r="86" spans="1:9" x14ac:dyDescent="0.45">
      <c r="A86" s="25"/>
      <c r="B86" s="5" t="str">
        <f>IF(AND(C81&gt;=12450,C81&lt;20200),2365.5+(C81-12450)*0.24,"")</f>
        <v/>
      </c>
      <c r="C86" s="5"/>
      <c r="I86" s="5"/>
    </row>
    <row r="87" spans="1:9" x14ac:dyDescent="0.45">
      <c r="A87" s="25"/>
      <c r="B87" s="5" t="str">
        <f>IF(AND(C81&gt;=20200,C81&lt;35200),4225.5+(C81-20200)*0.3,"")</f>
        <v/>
      </c>
      <c r="C87" s="5"/>
      <c r="I87" s="5"/>
    </row>
    <row r="88" spans="1:9" x14ac:dyDescent="0.45">
      <c r="A88" s="25"/>
      <c r="B88" s="5">
        <f>IF(AND(C81&gt;=35200,C81&lt;60000),8725.5+(C81-35200)*0.37,"")</f>
        <v>10286.115599999999</v>
      </c>
      <c r="C88" s="5"/>
      <c r="I88" s="5"/>
    </row>
    <row r="89" spans="1:9" x14ac:dyDescent="0.45">
      <c r="A89" s="25"/>
      <c r="B89" s="5" t="str">
        <f>IF(AND(C81&gt;=60000,C81&lt;300000),17901.5+(C81-60000)*0.45,"")</f>
        <v/>
      </c>
      <c r="C89" s="5"/>
      <c r="I89" s="5"/>
    </row>
    <row r="90" spans="1:9" x14ac:dyDescent="0.45">
      <c r="A90" s="25"/>
      <c r="B90" s="5" t="str">
        <f>IF(C81&gt;300000,125901.5+(C81-300000)*0.47,"")</f>
        <v/>
      </c>
      <c r="C90" s="5"/>
      <c r="I90" s="5"/>
    </row>
    <row r="91" spans="1:9" x14ac:dyDescent="0.45">
      <c r="A91" s="25"/>
      <c r="B91" s="5" t="s">
        <v>252</v>
      </c>
      <c r="C91" s="40">
        <f>MAX(B92:B97)</f>
        <v>0</v>
      </c>
      <c r="I91" s="5"/>
    </row>
    <row r="92" spans="1:9" x14ac:dyDescent="0.45">
      <c r="A92" s="25"/>
      <c r="B92" s="5">
        <f>IF(C82&lt;12450,0+(C82)*0.19,"")</f>
        <v>0</v>
      </c>
      <c r="C92" s="5"/>
      <c r="I92" s="5"/>
    </row>
    <row r="93" spans="1:9" x14ac:dyDescent="0.45">
      <c r="A93" s="25"/>
      <c r="B93" s="5" t="str">
        <f>IF(AND(C82&gt;=12450,C82&lt;20200),2365.5+(C82-12450)*0.24,"")</f>
        <v/>
      </c>
      <c r="C93" s="5"/>
      <c r="I93" s="5"/>
    </row>
    <row r="94" spans="1:9" x14ac:dyDescent="0.45">
      <c r="A94" s="25"/>
      <c r="B94" s="5" t="str">
        <f>IF(AND(C82&gt;=20200,C82&lt;35200),4225.5+(C82-20200)*0.3,"")</f>
        <v/>
      </c>
      <c r="C94" s="5"/>
      <c r="I94" s="5"/>
    </row>
    <row r="95" spans="1:9" x14ac:dyDescent="0.45">
      <c r="A95" s="25"/>
      <c r="B95" s="5" t="str">
        <f>IF(AND(C82&gt;=35200,C82&lt;60000),8725.5+(C82-35200)*0.37,"")</f>
        <v/>
      </c>
      <c r="C95" s="5"/>
      <c r="I95" s="5"/>
    </row>
    <row r="96" spans="1:9" x14ac:dyDescent="0.45">
      <c r="A96" s="25"/>
      <c r="B96" s="5" t="str">
        <f>IF(AND(C82&gt;=60000,C82&lt;300000),17901.5+(C82-60000)*0.45,"")</f>
        <v/>
      </c>
      <c r="C96" s="5"/>
    </row>
    <row r="97" spans="1:29" x14ac:dyDescent="0.45">
      <c r="B97" s="5" t="str">
        <f>IF(C82&gt;300000,125901.5+(C82-300000)*0.47,"")</f>
        <v/>
      </c>
      <c r="C97" s="5"/>
    </row>
    <row r="98" spans="1:29" s="24" customFormat="1" x14ac:dyDescent="0.45">
      <c r="A98" s="4"/>
      <c r="B98" s="5" t="s">
        <v>254</v>
      </c>
      <c r="C98" s="39">
        <f>IF(AND(C35&gt;0,L49-C35&gt;0),C91+C83,C108)</f>
        <v>10286.115599999999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 s="24" customFormat="1" x14ac:dyDescent="0.45">
      <c r="A99" s="4"/>
      <c r="B99" s="5" t="s">
        <v>255</v>
      </c>
      <c r="C99" s="40">
        <f>IF(AND(C35&gt;0,L49-C35&gt;0),L48+1980,L48)</f>
        <v>5550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s="24" customFormat="1" x14ac:dyDescent="0.45">
      <c r="A100" s="4"/>
      <c r="B100" s="5" t="s">
        <v>256</v>
      </c>
      <c r="C100" s="40">
        <f>MAX(B101:B106)</f>
        <v>1054.5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:29" s="24" customFormat="1" x14ac:dyDescent="0.45">
      <c r="A101" s="4"/>
      <c r="B101" s="5">
        <f>IF(C99&lt;12450,0+(C99)*0.19,"")</f>
        <v>1054.5</v>
      </c>
      <c r="C101" s="5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 s="24" customFormat="1" x14ac:dyDescent="0.45">
      <c r="A102" s="4"/>
      <c r="B102" s="5" t="str">
        <f>IF(AND(C99&gt;=12450,C99&lt;20200),2365.5+(C99-12450)*0.24,"")</f>
        <v/>
      </c>
      <c r="C102" s="5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 s="24" customFormat="1" x14ac:dyDescent="0.45">
      <c r="A103" s="4"/>
      <c r="B103" s="5" t="str">
        <f>IF(AND(C99&gt;=20200,C99&lt;35200),4225.5+(C99-20200)*0.3,"")</f>
        <v/>
      </c>
      <c r="C103" s="5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s="24" customFormat="1" x14ac:dyDescent="0.45">
      <c r="A104" s="4"/>
      <c r="B104" s="5" t="str">
        <f>IF(AND(C99&gt;=35200,C99&lt;60000),8725.5+(C99-35200)*0.37,"")</f>
        <v/>
      </c>
      <c r="C104" s="5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s="24" customFormat="1" x14ac:dyDescent="0.45">
      <c r="A105" s="4"/>
      <c r="B105" s="5" t="str">
        <f>IF(AND(C99&gt;=60000,C99&lt;300000),17901.5+(C99-60000)*0.45,"")</f>
        <v/>
      </c>
      <c r="C105" s="5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s="24" customFormat="1" x14ac:dyDescent="0.45">
      <c r="A106" s="4"/>
      <c r="B106" s="5" t="str">
        <f>IF(C99&gt;300000,125901.5+(C99-300000)*0.47,"")</f>
        <v/>
      </c>
      <c r="C106" s="5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:29" s="24" customFormat="1" x14ac:dyDescent="0.45">
      <c r="A107" s="4"/>
      <c r="B107" s="5" t="s">
        <v>257</v>
      </c>
      <c r="C107" s="41">
        <f>IF(C98&gt;C100,C98-C100,L60)</f>
        <v>9231.6155999999992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:29" s="24" customFormat="1" x14ac:dyDescent="0.45">
      <c r="A108" s="4"/>
      <c r="B108" s="5" t="s">
        <v>258</v>
      </c>
      <c r="C108" s="40">
        <f>MAX(B109:B115)</f>
        <v>10286.115599999999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 s="24" customFormat="1" x14ac:dyDescent="0.45">
      <c r="A109" s="4"/>
      <c r="B109" s="5" t="str">
        <f>IF(L49&lt;12450,0+(L49)*0.19,"")</f>
        <v/>
      </c>
      <c r="C109" s="5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 s="24" customFormat="1" x14ac:dyDescent="0.45">
      <c r="A110" s="4"/>
      <c r="B110" s="5" t="str">
        <f>IF(AND(L49&gt;=12450,L49&lt;20200),2365.5+(L49-12450)*0.24,"")</f>
        <v/>
      </c>
      <c r="C110" s="5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 s="24" customFormat="1" x14ac:dyDescent="0.45">
      <c r="A111" s="4"/>
      <c r="B111" s="5" t="str">
        <f>IF(AND(L49&gt;=20200,L49&lt;35200),4225.5+(L49-20200)*0.3,"")</f>
        <v/>
      </c>
      <c r="C111" s="5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 s="24" customFormat="1" x14ac:dyDescent="0.45">
      <c r="A112" s="4"/>
      <c r="B112" s="5">
        <f>IF(AND(L49&gt;=35200,L49&lt;60000),8725.5+(L49-35200)*0.37,"")</f>
        <v>10286.115599999999</v>
      </c>
      <c r="C112" s="5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:29" s="24" customFormat="1" x14ac:dyDescent="0.45">
      <c r="A113" s="4"/>
      <c r="B113" s="5" t="str">
        <f>IF(AND(L49&gt;=60000,L49&lt;300000),17901.5+(L49-60000)*0.45,"")</f>
        <v/>
      </c>
      <c r="C113" s="5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:29" s="24" customFormat="1" x14ac:dyDescent="0.45">
      <c r="A114" s="4"/>
      <c r="B114" s="5" t="str">
        <f>IF(L49&gt;300000,125901.5+(L49-300000)*0.47,"")</f>
        <v/>
      </c>
      <c r="C114" s="5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 s="24" customFormat="1" x14ac:dyDescent="0.45">
      <c r="A115" s="4"/>
      <c r="B115" s="5"/>
      <c r="C115" s="5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29" s="24" customFormat="1" x14ac:dyDescent="0.45">
      <c r="A116" s="4"/>
      <c r="B116" s="5"/>
      <c r="C116" s="5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:29" s="24" customFormat="1" x14ac:dyDescent="0.45">
      <c r="A117" s="4"/>
      <c r="B117" s="5" t="s">
        <v>259</v>
      </c>
      <c r="C117" s="5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:29" s="24" customFormat="1" x14ac:dyDescent="0.45">
      <c r="A118" s="4"/>
      <c r="B118" s="5" t="s">
        <v>261</v>
      </c>
      <c r="C118" s="5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:29" s="24" customFormat="1" x14ac:dyDescent="0.45">
      <c r="A119" s="4"/>
      <c r="B119" s="5" t="s">
        <v>260</v>
      </c>
      <c r="C119" s="5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:29" s="24" customFormat="1" x14ac:dyDescent="0.45">
      <c r="A120" s="4"/>
      <c r="B120" s="5">
        <f>IF(AND(L36&lt;=35200,C69=1,C36=1),(L36-(17270+C119+C120))*0.43,0)</f>
        <v>0</v>
      </c>
      <c r="C120" s="5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:29" s="24" customFormat="1" x14ac:dyDescent="0.45">
      <c r="A121" s="4"/>
      <c r="B121" s="5">
        <f>IF(AND(L36&lt;=35200,C69=1,C36&gt;1),(L36-(18617+C119+C120))*0.43,0)</f>
        <v>0</v>
      </c>
      <c r="C121" s="5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1:29" s="24" customFormat="1" x14ac:dyDescent="0.45">
      <c r="A122" s="4"/>
      <c r="B122" s="5">
        <f>IF(AND(L36&lt;=35200,C69=2,C36=0),(L36-(16696+C119+C120))*0.43,0)</f>
        <v>0</v>
      </c>
      <c r="C122" s="5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:29" s="24" customFormat="1" x14ac:dyDescent="0.45">
      <c r="A123" s="4"/>
      <c r="B123" s="5">
        <f>IF(AND(L36&lt;=35200,C69=2,C36=1),(L36-(17894+C119+C120))*0.43,0)</f>
        <v>0</v>
      </c>
      <c r="C123" s="5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:29" s="24" customFormat="1" x14ac:dyDescent="0.45">
      <c r="A124" s="4"/>
      <c r="B124" s="5">
        <f>IF(AND(L36&lt;=35200,C69=2,C36&gt;1),(L36-(19241+C119+C120))*0.43,0)</f>
        <v>0</v>
      </c>
      <c r="C124" s="5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1:29" s="24" customFormat="1" x14ac:dyDescent="0.45">
      <c r="A125" s="4"/>
      <c r="B125" s="5">
        <f>IF(AND(L36&lt;=35200,C69=3,C36=0),(L36-(15000+C119+C120))*0.43,0)</f>
        <v>0</v>
      </c>
      <c r="C125" s="5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1:29" s="24" customFormat="1" x14ac:dyDescent="0.45">
      <c r="A126" s="4"/>
      <c r="B126" s="5">
        <f>IF(AND(L36&lt;=35200,C69=3,C36=1),(L36-(15599+C119+C120))*0.43,0)</f>
        <v>0</v>
      </c>
      <c r="C126" s="5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 s="24" customFormat="1" x14ac:dyDescent="0.45">
      <c r="A127" s="4"/>
      <c r="B127" s="5">
        <f>IF(AND(L36&lt;=35200,C69=3,C36&gt;1),(L36-(16272+C119+C120))*0.43,0)</f>
        <v>0</v>
      </c>
      <c r="C127" s="5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:29" s="24" customFormat="1" x14ac:dyDescent="0.45">
      <c r="A128" s="4"/>
      <c r="B128" s="5" t="s">
        <v>263</v>
      </c>
      <c r="C128" s="5" t="str">
        <f>IF(MAX(B120:B127)&gt;0,"Sí","No")</f>
        <v>No</v>
      </c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1:29" s="24" customFormat="1" x14ac:dyDescent="0.45">
      <c r="A129" s="4"/>
      <c r="B129" s="5" t="s">
        <v>264</v>
      </c>
      <c r="C129" s="5">
        <f>MAX(B120:B127)</f>
        <v>0</v>
      </c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:29" s="24" customFormat="1" x14ac:dyDescent="0.45">
      <c r="A130" s="4"/>
      <c r="B130" s="5" t="s">
        <v>262</v>
      </c>
      <c r="C130" s="41">
        <f>IF(C128="No",C107,IF(C107&gt;C129,C129,C107))</f>
        <v>9231.6155999999992</v>
      </c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1:29" s="24" customFormat="1" x14ac:dyDescent="0.45">
      <c r="A131" s="4"/>
      <c r="B131" s="5"/>
      <c r="C131" s="5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1:29" s="24" customFormat="1" x14ac:dyDescent="0.45">
      <c r="A132" s="4"/>
      <c r="B132" s="5"/>
      <c r="C132" s="5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:29" s="24" customFormat="1" x14ac:dyDescent="0.45">
      <c r="A133" s="4"/>
      <c r="B133" s="5"/>
      <c r="C133" s="5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1:29" s="24" customFormat="1" x14ac:dyDescent="0.45">
      <c r="A134" s="4"/>
      <c r="B134" s="5"/>
      <c r="C134" s="5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1:29" s="24" customFormat="1" x14ac:dyDescent="0.45">
      <c r="A135" s="4"/>
      <c r="B135" s="5"/>
      <c r="C135" s="5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1:29" s="24" customFormat="1" x14ac:dyDescent="0.45">
      <c r="A136" s="4"/>
      <c r="B136" s="5"/>
      <c r="C136" s="5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:29" s="24" customFormat="1" x14ac:dyDescent="0.45">
      <c r="A137" s="4"/>
      <c r="B137" s="5"/>
      <c r="C137" s="5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:29" s="24" customFormat="1" x14ac:dyDescent="0.45">
      <c r="A138" s="4"/>
      <c r="B138" s="5"/>
      <c r="C138" s="5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</sheetData>
  <sheetProtection algorithmName="SHA-512" hashValue="r7lDHcudh5+BudEsLkRSNe7TwBpHPiFnhbs3r7Nm3bVwPiu2quhqidNLExbtF0c0C/Jw90aJBCmqt1U75bzuKw==" saltValue="2QXrrgEBfeL/IAmJdrTOIw==" spinCount="100000" sheet="1" objects="1" scenarios="1"/>
  <mergeCells count="12">
    <mergeCell ref="M4:M5"/>
    <mergeCell ref="B29:C29"/>
    <mergeCell ref="B70:C70"/>
    <mergeCell ref="B3:C3"/>
    <mergeCell ref="J3:K3"/>
    <mergeCell ref="J4:K5"/>
    <mergeCell ref="L4:L5"/>
    <mergeCell ref="B32:C32"/>
    <mergeCell ref="B42:B44"/>
    <mergeCell ref="C42:C44"/>
    <mergeCell ref="B45:B47"/>
    <mergeCell ref="C45:C47"/>
  </mergeCells>
  <dataValidations count="18">
    <dataValidation type="list" allowBlank="1" showInputMessage="1" showErrorMessage="1" sqref="B70">
      <formula1>$A$69:$A$71</formula1>
    </dataValidation>
    <dataValidation type="list" allowBlank="1" showInputMessage="1" showErrorMessage="1" sqref="C39 C66 C56 C51 C61">
      <formula1>$A$39:$A$43</formula1>
    </dataValidation>
    <dataValidation type="whole" allowBlank="1" showInputMessage="1" showErrorMessage="1" sqref="C45">
      <formula1>0</formula1>
      <formula2>C41</formula2>
    </dataValidation>
    <dataValidation type="whole" allowBlank="1" showInputMessage="1" showErrorMessage="1" sqref="C53 C58 C63 C68">
      <formula1>0</formula1>
      <formula2>20</formula2>
    </dataValidation>
    <dataValidation type="whole" allowBlank="1" showInputMessage="1" showErrorMessage="1" sqref="C50 C55 C60 C65">
      <formula1>18</formula1>
      <formula2>130</formula2>
    </dataValidation>
    <dataValidation type="whole" allowBlank="1" showInputMessage="1" showErrorMessage="1" sqref="C37 C41:C42">
      <formula1>0</formula1>
      <formula2>C36</formula2>
    </dataValidation>
    <dataValidation type="whole" allowBlank="1" showInputMessage="1" showErrorMessage="1" sqref="C36">
      <formula1>0</formula1>
      <formula2>100</formula2>
    </dataValidation>
    <dataValidation type="list" allowBlank="1" showInputMessage="1" showErrorMessage="1" sqref="C30">
      <formula1>$A$36:$A$38</formula1>
    </dataValidation>
    <dataValidation type="whole" allowBlank="1" showInputMessage="1" showErrorMessage="1" sqref="C31">
      <formula1>1980</formula1>
      <formula2>2023</formula2>
    </dataValidation>
    <dataValidation type="whole" allowBlank="1" showInputMessage="1" showErrorMessage="1" sqref="C28">
      <formula1>0</formula1>
      <formula2>10000</formula2>
    </dataValidation>
    <dataValidation type="whole" allowBlank="1" showInputMessage="1" showErrorMessage="1" sqref="C26">
      <formula1>0</formula1>
      <formula2>30</formula2>
    </dataValidation>
    <dataValidation type="list" allowBlank="1" showInputMessage="1" showErrorMessage="1" sqref="C27 C48 C67 C62 C57 C52 C40 C38 C33 C15:C25">
      <formula1>$H$13:$H$14</formula1>
    </dataValidation>
    <dataValidation type="list" allowBlank="1" showInputMessage="1" showErrorMessage="1" sqref="C14">
      <formula1>$F$13:$F$18</formula1>
    </dataValidation>
    <dataValidation type="list" allowBlank="1" showInputMessage="1" showErrorMessage="1" sqref="C13">
      <formula1>$D$13:$D$20</formula1>
    </dataValidation>
    <dataValidation type="decimal" allowBlank="1" showInputMessage="1" showErrorMessage="1" sqref="C4:C5">
      <formula1>0</formula1>
      <formula2>100</formula2>
    </dataValidation>
    <dataValidation type="whole" allowBlank="1" showInputMessage="1" showErrorMessage="1" sqref="C12">
      <formula1>0</formula1>
      <formula2>5</formula2>
    </dataValidation>
    <dataValidation type="whole" allowBlank="1" showInputMessage="1" showErrorMessage="1" sqref="C6:C10">
      <formula1>0</formula1>
      <formula2>14</formula2>
    </dataValidation>
    <dataValidation type="list" allowBlank="1" showInputMessage="1" showErrorMessage="1" sqref="C11">
      <formula1>$D$5:$D$6</formula1>
    </dataValidation>
  </dataValidations>
  <hyperlinks>
    <hyperlink ref="B2" location="Inicio!A1" display="Ir a inicio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8"/>
  <sheetViews>
    <sheetView showRowColHeaders="0" zoomScaleNormal="100" workbookViewId="0">
      <selection activeCell="B2" sqref="B2"/>
    </sheetView>
  </sheetViews>
  <sheetFormatPr baseColWidth="10" defaultRowHeight="14.25" x14ac:dyDescent="0.45"/>
  <cols>
    <col min="1" max="1" width="0.53125" style="4" customWidth="1"/>
    <col min="2" max="2" width="55.86328125" style="4" customWidth="1"/>
    <col min="3" max="3" width="26.19921875" style="4" customWidth="1"/>
    <col min="4" max="4" width="2.265625" style="24" customWidth="1"/>
    <col min="5" max="5" width="1" style="24" customWidth="1"/>
    <col min="6" max="6" width="0.796875" style="24" hidden="1" customWidth="1"/>
    <col min="7" max="7" width="6.640625E-2" style="24" hidden="1" customWidth="1"/>
    <col min="8" max="8" width="6.19921875" style="24" hidden="1" customWidth="1"/>
    <col min="9" max="9" width="1.1328125" style="4" customWidth="1"/>
    <col min="10" max="10" width="10.6640625" style="4"/>
    <col min="11" max="11" width="41.33203125" style="4" customWidth="1"/>
    <col min="12" max="12" width="17.73046875" style="4" customWidth="1"/>
    <col min="13" max="13" width="17.9296875" style="4" customWidth="1"/>
    <col min="14" max="14" width="5.3984375" style="4" customWidth="1"/>
    <col min="15" max="15" width="4.73046875" style="4" customWidth="1"/>
    <col min="16" max="16384" width="10.6640625" style="4"/>
  </cols>
  <sheetData>
    <row r="1" spans="1:29" ht="118.5" customHeight="1" thickBot="1" x14ac:dyDescent="0.5">
      <c r="O1"/>
    </row>
    <row r="2" spans="1:29" ht="19.149999999999999" customHeight="1" thickBot="1" x14ac:dyDescent="0.5">
      <c r="B2" s="96" t="s">
        <v>293</v>
      </c>
      <c r="L2" s="33" t="s">
        <v>241</v>
      </c>
      <c r="M2" s="34" t="s">
        <v>172</v>
      </c>
      <c r="Q2" s="24"/>
      <c r="R2" s="24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8.25" customHeight="1" thickBot="1" x14ac:dyDescent="0.7">
      <c r="B3" s="158" t="s">
        <v>240</v>
      </c>
      <c r="C3" s="159"/>
      <c r="J3" s="160" t="s">
        <v>227</v>
      </c>
      <c r="K3" s="161"/>
      <c r="L3" s="84">
        <f>L4-SUM(L28:L32)</f>
        <v>2024.1650679423246</v>
      </c>
      <c r="M3" s="84">
        <f>M4-SUM(M28:M32)</f>
        <v>1840.5959743460526</v>
      </c>
      <c r="Q3" s="24"/>
      <c r="R3" s="24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8.399999999999999" customHeight="1" thickBot="1" x14ac:dyDescent="0.5">
      <c r="A4" s="24"/>
      <c r="B4" s="26" t="s">
        <v>274</v>
      </c>
      <c r="C4" s="49">
        <v>100</v>
      </c>
      <c r="D4" s="50" t="s">
        <v>140</v>
      </c>
      <c r="J4" s="162" t="s">
        <v>121</v>
      </c>
      <c r="K4" s="163"/>
      <c r="L4" s="152">
        <f>SUM(L6:L26)</f>
        <v>2835.58</v>
      </c>
      <c r="M4" s="152">
        <f>SUM(M6:M26)</f>
        <v>2337.46</v>
      </c>
      <c r="Q4" s="24"/>
      <c r="R4" s="24"/>
      <c r="S4" s="5"/>
      <c r="T4" s="5" t="s">
        <v>122</v>
      </c>
      <c r="U4" s="5"/>
      <c r="V4" s="5">
        <f>$C$6*Datos!G15</f>
        <v>0</v>
      </c>
      <c r="W4" s="5">
        <f>$C$6*Datos!G16</f>
        <v>0</v>
      </c>
      <c r="X4" s="5"/>
      <c r="Y4" s="5"/>
      <c r="Z4" s="5"/>
      <c r="AA4" s="5"/>
      <c r="AB4" s="5"/>
      <c r="AC4" s="5"/>
    </row>
    <row r="5" spans="1:29" ht="18.399999999999999" customHeight="1" thickBot="1" x14ac:dyDescent="0.5">
      <c r="A5" s="24"/>
      <c r="B5" s="26" t="s">
        <v>163</v>
      </c>
      <c r="C5" s="48"/>
      <c r="D5" s="5" t="s">
        <v>285</v>
      </c>
      <c r="E5" s="5"/>
      <c r="F5" s="5"/>
      <c r="G5" s="5"/>
      <c r="H5" s="5"/>
      <c r="I5" s="5"/>
      <c r="J5" s="164"/>
      <c r="K5" s="165"/>
      <c r="L5" s="153"/>
      <c r="M5" s="153"/>
      <c r="Q5" s="24"/>
      <c r="R5" s="24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x14ac:dyDescent="0.45">
      <c r="A6" s="24"/>
      <c r="B6" s="6" t="str">
        <f>T4</f>
        <v>Trienios A1</v>
      </c>
      <c r="C6" s="17">
        <v>0</v>
      </c>
      <c r="D6" s="5" t="s">
        <v>288</v>
      </c>
      <c r="E6" s="5"/>
      <c r="F6" s="5"/>
      <c r="G6" s="5"/>
      <c r="H6" s="5"/>
      <c r="I6" s="5"/>
      <c r="J6" s="63" t="s">
        <v>118</v>
      </c>
      <c r="K6" s="67"/>
      <c r="L6" s="59">
        <f>ROUND((C4/100)*Datos!G4,2)</f>
        <v>1300.8800000000001</v>
      </c>
      <c r="M6" s="59">
        <f>ROUND((C4/100)*Datos!G5,2)</f>
        <v>802.76</v>
      </c>
      <c r="Q6" s="24"/>
      <c r="R6" s="24"/>
      <c r="S6" s="5"/>
      <c r="T6" s="5" t="s">
        <v>123</v>
      </c>
      <c r="U6" s="5"/>
      <c r="V6" s="5">
        <f>$C$7*Datos!G17</f>
        <v>0</v>
      </c>
      <c r="W6" s="5">
        <f>$C$7*Datos!G18</f>
        <v>0</v>
      </c>
      <c r="X6" s="5"/>
      <c r="Y6" s="5"/>
      <c r="Z6" s="5"/>
      <c r="AA6" s="5"/>
      <c r="AB6" s="5"/>
      <c r="AC6" s="5"/>
    </row>
    <row r="7" spans="1:29" x14ac:dyDescent="0.45">
      <c r="A7" s="24"/>
      <c r="B7" s="8" t="str">
        <f t="shared" ref="B7:B10" si="0">T6</f>
        <v>Trienios A2</v>
      </c>
      <c r="C7" s="18">
        <v>0</v>
      </c>
      <c r="D7" s="5"/>
      <c r="E7" s="5"/>
      <c r="F7" s="5"/>
      <c r="G7" s="5"/>
      <c r="H7" s="5"/>
      <c r="I7" s="5"/>
      <c r="J7" s="42" t="s">
        <v>119</v>
      </c>
      <c r="K7"/>
      <c r="L7" s="60">
        <f>ROUND(($C$4/100)*Datos!G9,2)</f>
        <v>683.75</v>
      </c>
      <c r="M7" s="60">
        <f>L7</f>
        <v>683.75</v>
      </c>
      <c r="Q7" s="24"/>
      <c r="R7" s="24"/>
      <c r="S7" s="5"/>
      <c r="T7" s="5" t="s">
        <v>124</v>
      </c>
      <c r="U7" s="5"/>
      <c r="V7" s="5">
        <f>$C$8*Datos!G19</f>
        <v>0</v>
      </c>
      <c r="W7" s="5">
        <f>$C$8*Datos!G20</f>
        <v>0</v>
      </c>
      <c r="X7" s="5"/>
      <c r="Y7" s="5"/>
      <c r="Z7" s="5"/>
      <c r="AA7" s="5"/>
      <c r="AB7" s="5"/>
      <c r="AC7" s="5"/>
    </row>
    <row r="8" spans="1:29" x14ac:dyDescent="0.45">
      <c r="A8" s="24"/>
      <c r="B8" s="8" t="str">
        <f t="shared" si="0"/>
        <v>Trienios C1</v>
      </c>
      <c r="C8" s="18">
        <v>0</v>
      </c>
      <c r="D8" s="5"/>
      <c r="E8" s="5"/>
      <c r="F8" s="5"/>
      <c r="G8" s="5"/>
      <c r="H8" s="5"/>
      <c r="I8" s="5"/>
      <c r="J8" s="42" t="s">
        <v>120</v>
      </c>
      <c r="K8" s="68"/>
      <c r="L8" s="60">
        <f>ROUND(($C$4/100)*Datos!G13,2)</f>
        <v>850.95</v>
      </c>
      <c r="M8" s="60">
        <f>L8</f>
        <v>850.95</v>
      </c>
      <c r="Q8" s="24"/>
      <c r="R8" s="24"/>
      <c r="S8" s="5"/>
      <c r="T8" s="5" t="s">
        <v>125</v>
      </c>
      <c r="U8" s="5"/>
      <c r="V8" s="5">
        <f>$C$9*Datos!G21</f>
        <v>0</v>
      </c>
      <c r="W8" s="5">
        <f>$C$9*Datos!G22</f>
        <v>0</v>
      </c>
      <c r="X8" s="5"/>
      <c r="Y8" s="5"/>
      <c r="Z8" s="5"/>
      <c r="AA8" s="5"/>
      <c r="AB8" s="5"/>
      <c r="AC8" s="5"/>
    </row>
    <row r="9" spans="1:29" x14ac:dyDescent="0.45">
      <c r="A9" s="24"/>
      <c r="B9" s="8" t="str">
        <f t="shared" si="0"/>
        <v>Trienios C2</v>
      </c>
      <c r="C9" s="18">
        <v>0</v>
      </c>
      <c r="D9" s="5"/>
      <c r="E9" s="5"/>
      <c r="F9" s="5"/>
      <c r="G9" s="5"/>
      <c r="H9" s="5"/>
      <c r="I9" s="5"/>
      <c r="J9" s="42" t="s">
        <v>126</v>
      </c>
      <c r="K9" s="68"/>
      <c r="L9" s="60">
        <f>IF(SUM(C6:C10)&gt;0,ROUND(V12*C4/100,2),0)</f>
        <v>0</v>
      </c>
      <c r="M9" s="60">
        <f>W12</f>
        <v>0</v>
      </c>
      <c r="Q9" s="24"/>
      <c r="R9" s="24"/>
      <c r="S9" s="5"/>
      <c r="T9" s="5" t="s">
        <v>127</v>
      </c>
      <c r="U9" s="5"/>
      <c r="V9" s="5">
        <f>$C$10*Datos!G23</f>
        <v>0</v>
      </c>
      <c r="W9" s="5">
        <f>$C$10*Datos!G24</f>
        <v>0</v>
      </c>
      <c r="X9" s="5"/>
      <c r="Y9" s="5"/>
      <c r="Z9" s="5"/>
      <c r="AA9" s="5"/>
      <c r="AB9" s="5"/>
      <c r="AC9" s="5"/>
    </row>
    <row r="10" spans="1:29" ht="14.65" thickBot="1" x14ac:dyDescent="0.5">
      <c r="A10" s="24"/>
      <c r="B10" s="12" t="str">
        <f t="shared" si="0"/>
        <v>Trienios agrupaciones especiales</v>
      </c>
      <c r="C10" s="19">
        <v>0</v>
      </c>
      <c r="D10" s="5"/>
      <c r="E10" s="5"/>
      <c r="F10" s="5"/>
      <c r="G10" s="5"/>
      <c r="H10" s="5"/>
      <c r="I10" s="5"/>
      <c r="J10" s="42" t="s">
        <v>153</v>
      </c>
      <c r="K10" s="68"/>
      <c r="L10" s="60">
        <f>IF(C12&gt;0,ROUND(N13*C4/100,2),0)</f>
        <v>0</v>
      </c>
      <c r="M10" s="60">
        <f>L10</f>
        <v>0</v>
      </c>
      <c r="Q10" s="24"/>
      <c r="R10" s="24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4.65" thickBot="1" x14ac:dyDescent="0.5">
      <c r="A11" s="5"/>
      <c r="B11" s="27" t="s">
        <v>284</v>
      </c>
      <c r="C11" s="20" t="s">
        <v>285</v>
      </c>
      <c r="D11" s="5"/>
      <c r="E11" s="5"/>
      <c r="F11" s="5"/>
      <c r="G11" s="5"/>
      <c r="H11" s="5"/>
      <c r="I11" s="5"/>
      <c r="J11" s="42" t="s">
        <v>24</v>
      </c>
      <c r="K11" s="68"/>
      <c r="L11" s="60">
        <f>IF(C13=D14,ROUND(C4*MAX(E28:E33,G28:G33)/100,2),0)</f>
        <v>0</v>
      </c>
      <c r="M11" s="60">
        <f t="shared" ref="M11:M26" si="1">L11</f>
        <v>0</v>
      </c>
      <c r="Q11" s="24"/>
      <c r="R11" s="24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4.65" thickBot="1" x14ac:dyDescent="0.5">
      <c r="A12" s="5"/>
      <c r="B12" s="27" t="s">
        <v>129</v>
      </c>
      <c r="C12" s="20">
        <v>0</v>
      </c>
      <c r="D12" s="5" t="str">
        <f>IF(OR(C13=D14,C13=D18,C13=D19,C13=D20),D14,"")</f>
        <v/>
      </c>
      <c r="E12" s="5"/>
      <c r="F12" s="5"/>
      <c r="G12" s="5"/>
      <c r="H12" s="5"/>
      <c r="I12" s="5"/>
      <c r="J12" s="42" t="s">
        <v>39</v>
      </c>
      <c r="K12" s="68"/>
      <c r="L12" s="60">
        <f>IF(C13=D16,ROUND(C4*MAX(F28:F32,H28:H32)/100,2),0)</f>
        <v>0</v>
      </c>
      <c r="M12" s="60">
        <f t="shared" si="1"/>
        <v>0</v>
      </c>
      <c r="Q12" s="24"/>
      <c r="R12" s="24"/>
      <c r="S12" s="5"/>
      <c r="T12" s="5" t="s">
        <v>128</v>
      </c>
      <c r="U12" s="5"/>
      <c r="V12" s="5">
        <f>SUM(V4:V9)</f>
        <v>0</v>
      </c>
      <c r="W12" s="5">
        <f>SUM(W4:W9)</f>
        <v>0</v>
      </c>
      <c r="X12" s="5"/>
      <c r="Y12" s="5"/>
      <c r="Z12" s="5"/>
      <c r="AA12" s="5"/>
      <c r="AB12" s="5"/>
      <c r="AC12" s="5"/>
    </row>
    <row r="13" spans="1:29" ht="14.65" thickBot="1" x14ac:dyDescent="0.5">
      <c r="A13" s="5"/>
      <c r="B13" s="27" t="s">
        <v>280</v>
      </c>
      <c r="C13" s="20"/>
      <c r="D13" s="5" t="s">
        <v>141</v>
      </c>
      <c r="E13" s="5"/>
      <c r="F13" s="5" t="s">
        <v>27</v>
      </c>
      <c r="G13" s="5" t="s">
        <v>136</v>
      </c>
      <c r="H13" s="5" t="s">
        <v>143</v>
      </c>
      <c r="I13" s="5"/>
      <c r="J13" s="42" t="s">
        <v>40</v>
      </c>
      <c r="K13" s="68"/>
      <c r="L13" s="99">
        <f>IF(C13=D15,ROUND(C4*MAX(F28:F32,H28:H32)/100,2),0)</f>
        <v>0</v>
      </c>
      <c r="M13" s="60">
        <f t="shared" si="1"/>
        <v>0</v>
      </c>
      <c r="N13" s="5">
        <f>IF(C12=1,Datos!J26,IF(C12=2,Datos!J27,IF(C12=3,Datos!J28,IF(C12=4,Datos!J29,IF(C12=5,Datos!J30,0)))))</f>
        <v>0</v>
      </c>
      <c r="Q13" s="24"/>
      <c r="R13" s="24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4.65" thickBot="1" x14ac:dyDescent="0.5">
      <c r="A14" s="5"/>
      <c r="B14" s="27" t="s">
        <v>130</v>
      </c>
      <c r="C14" s="20"/>
      <c r="D14" s="5" t="s">
        <v>132</v>
      </c>
      <c r="E14" s="5"/>
      <c r="F14" s="5" t="s">
        <v>28</v>
      </c>
      <c r="G14" s="5" t="s">
        <v>137</v>
      </c>
      <c r="H14" s="5" t="s">
        <v>144</v>
      </c>
      <c r="I14" s="5"/>
      <c r="J14" s="42" t="s">
        <v>154</v>
      </c>
      <c r="K14" s="68"/>
      <c r="L14" s="60">
        <f>IF(C13=D17,ROUND(Datos!G77*'Profesores Secundaria'!C4/100,2),0)</f>
        <v>0</v>
      </c>
      <c r="M14" s="60">
        <f t="shared" si="1"/>
        <v>0</v>
      </c>
      <c r="Q14" s="24"/>
      <c r="R14" s="24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4.65" thickBot="1" x14ac:dyDescent="0.5">
      <c r="A15" s="5"/>
      <c r="B15" s="27" t="s">
        <v>53</v>
      </c>
      <c r="C15" s="20" t="s">
        <v>144</v>
      </c>
      <c r="D15" s="5" t="s">
        <v>133</v>
      </c>
      <c r="E15" s="5"/>
      <c r="F15" s="5" t="s">
        <v>29</v>
      </c>
      <c r="G15" s="5" t="s">
        <v>138</v>
      </c>
      <c r="H15" s="5"/>
      <c r="I15" s="5"/>
      <c r="J15" s="42" t="str">
        <f>B16</f>
        <v>Jefatura de Residencia Tipo A</v>
      </c>
      <c r="K15" s="68"/>
      <c r="L15" s="60">
        <f>IF(C16="Sí",ROUND(Datos!G85*'Profesores Secundaria'!C4/100,2),0)</f>
        <v>0</v>
      </c>
      <c r="M15" s="60">
        <f t="shared" si="1"/>
        <v>0</v>
      </c>
      <c r="Q15" s="24"/>
      <c r="R15" s="24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4.65" thickBot="1" x14ac:dyDescent="0.5">
      <c r="A16" s="5"/>
      <c r="B16" s="27" t="s">
        <v>50</v>
      </c>
      <c r="C16" s="20" t="s">
        <v>144</v>
      </c>
      <c r="D16" s="5" t="s">
        <v>134</v>
      </c>
      <c r="E16" s="5"/>
      <c r="F16" s="5" t="s">
        <v>30</v>
      </c>
      <c r="G16" s="5" t="s">
        <v>139</v>
      </c>
      <c r="H16" s="5" t="s">
        <v>144</v>
      </c>
      <c r="I16" s="5"/>
      <c r="J16" s="42" t="str">
        <f>B17</f>
        <v>Jefatura de Residencia Tipo B</v>
      </c>
      <c r="K16" s="68"/>
      <c r="L16" s="60">
        <f>IF(C17="Sí",ROUND(Datos!G86*'Profesores Secundaria'!C4/100,2),0)</f>
        <v>0</v>
      </c>
      <c r="M16" s="60">
        <f t="shared" si="1"/>
        <v>0</v>
      </c>
      <c r="Q16" s="24"/>
      <c r="R16" s="24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4.65" thickBot="1" x14ac:dyDescent="0.5">
      <c r="A17" s="5"/>
      <c r="B17" s="27" t="s">
        <v>51</v>
      </c>
      <c r="C17" s="20" t="s">
        <v>144</v>
      </c>
      <c r="D17" s="5" t="s">
        <v>142</v>
      </c>
      <c r="E17" s="5"/>
      <c r="F17" s="5" t="s">
        <v>31</v>
      </c>
      <c r="G17" s="5"/>
      <c r="H17" s="5" t="s">
        <v>145</v>
      </c>
      <c r="I17" s="5"/>
      <c r="J17" s="42" t="str">
        <f>B18</f>
        <v>Jefatura de Residencia de CEE</v>
      </c>
      <c r="K17" s="68"/>
      <c r="L17" s="60">
        <f>IF(C18="Sí",ROUND(Datos!G87*'Profesores Secundaria'!C4/100,2),0)</f>
        <v>0</v>
      </c>
      <c r="M17" s="60">
        <f t="shared" si="1"/>
        <v>0</v>
      </c>
      <c r="Q17" s="24"/>
      <c r="R17" s="24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14.65" thickBot="1" x14ac:dyDescent="0.5">
      <c r="A18" s="5"/>
      <c r="B18" s="27" t="s">
        <v>104</v>
      </c>
      <c r="C18" s="20" t="s">
        <v>144</v>
      </c>
      <c r="D18" s="5" t="s">
        <v>281</v>
      </c>
      <c r="E18" s="5"/>
      <c r="F18" s="5" t="s">
        <v>32</v>
      </c>
      <c r="G18" s="5"/>
      <c r="H18" s="5" t="s">
        <v>146</v>
      </c>
      <c r="I18" s="5"/>
      <c r="J18" s="42" t="str">
        <f>B19</f>
        <v>Coordinación Equipos de Atención Hospitalaria y Domiciliaria</v>
      </c>
      <c r="K18" s="68"/>
      <c r="L18" s="60">
        <f>IF(C19="Sí",ROUND(Datos!G89*'Profesores Secundaria'!C4/100,2),0)</f>
        <v>0</v>
      </c>
      <c r="M18" s="60">
        <f t="shared" si="1"/>
        <v>0</v>
      </c>
      <c r="Q18" s="24"/>
      <c r="R18" s="24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14.65" thickBot="1" x14ac:dyDescent="0.5">
      <c r="A19" s="5"/>
      <c r="B19" s="27" t="s">
        <v>102</v>
      </c>
      <c r="C19" s="20" t="s">
        <v>144</v>
      </c>
      <c r="D19" s="5" t="s">
        <v>282</v>
      </c>
      <c r="E19" s="5"/>
      <c r="F19" s="5"/>
      <c r="G19" s="5"/>
      <c r="H19" s="5" t="s">
        <v>147</v>
      </c>
      <c r="I19" s="5"/>
      <c r="J19" s="42" t="str">
        <f>B20</f>
        <v>Coordinación Programa Recuperación Pueblos Abandonados</v>
      </c>
      <c r="K19" s="68"/>
      <c r="L19" s="60">
        <f>IF(C20="Sí",ROUND(Datos!G90*'Profesores Secundaria'!C4/100,2),0)</f>
        <v>0</v>
      </c>
      <c r="M19" s="60">
        <f t="shared" si="1"/>
        <v>0</v>
      </c>
      <c r="Q19" s="24"/>
      <c r="R19" s="24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14.65" thickBot="1" x14ac:dyDescent="0.5">
      <c r="A20" s="5"/>
      <c r="B20" s="27" t="s">
        <v>103</v>
      </c>
      <c r="C20" s="20" t="s">
        <v>144</v>
      </c>
      <c r="D20" s="5" t="s">
        <v>283</v>
      </c>
      <c r="E20" s="5"/>
      <c r="F20" s="5"/>
      <c r="G20" s="5"/>
      <c r="H20" s="5"/>
      <c r="I20" s="5"/>
      <c r="J20" s="42" t="s">
        <v>53</v>
      </c>
      <c r="K20" s="68"/>
      <c r="L20" s="60">
        <f>IF(C15="Sí",ROUND(Datos!G91*'Profesores Secundaria'!C4/100,2),0)</f>
        <v>0</v>
      </c>
      <c r="M20" s="60">
        <f t="shared" si="1"/>
        <v>0</v>
      </c>
      <c r="Q20" s="24"/>
      <c r="R20" s="24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14.65" thickBot="1" x14ac:dyDescent="0.5">
      <c r="A21" s="5"/>
      <c r="B21" s="27" t="s">
        <v>54</v>
      </c>
      <c r="C21" s="20" t="s">
        <v>144</v>
      </c>
      <c r="D21" s="5">
        <f>IF(C13=D18,0.25,IF(C13=D19,0.4,IF(C13=D20,0.6,0)))</f>
        <v>0</v>
      </c>
      <c r="E21" s="5"/>
      <c r="F21" s="5"/>
      <c r="G21" s="5"/>
      <c r="H21" s="5"/>
      <c r="I21" s="5"/>
      <c r="J21" s="42" t="s">
        <v>276</v>
      </c>
      <c r="K21" s="68"/>
      <c r="L21" s="60">
        <f>IF(C22="Sí",ROUND(Datos!G97*'Profesores Secundaria'!C4/100,2),0)</f>
        <v>0</v>
      </c>
      <c r="M21" s="60">
        <f t="shared" si="1"/>
        <v>0</v>
      </c>
      <c r="Q21" s="24"/>
      <c r="R21" s="24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14.65" thickBot="1" x14ac:dyDescent="0.5">
      <c r="A22" s="5"/>
      <c r="B22" s="27" t="s">
        <v>275</v>
      </c>
      <c r="C22" s="20" t="s">
        <v>144</v>
      </c>
      <c r="D22" s="5"/>
      <c r="E22" s="5"/>
      <c r="F22" s="5"/>
      <c r="G22" s="5"/>
      <c r="H22" s="5"/>
      <c r="I22" s="5"/>
      <c r="J22" s="42" t="s">
        <v>158</v>
      </c>
      <c r="K22" s="68"/>
      <c r="L22" s="60">
        <f>IF(C24="Sí",ROUND(C4*SUM(D24:D26)/100,2),0)</f>
        <v>0</v>
      </c>
      <c r="M22" s="60">
        <f>L22</f>
        <v>0</v>
      </c>
      <c r="Q22" s="24"/>
      <c r="R22" s="24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14.65" thickBot="1" x14ac:dyDescent="0.5">
      <c r="A23" s="5"/>
      <c r="B23" s="27" t="s">
        <v>347</v>
      </c>
      <c r="C23" s="20" t="s">
        <v>144</v>
      </c>
      <c r="D23" s="5"/>
      <c r="E23" s="5"/>
      <c r="F23" s="5"/>
      <c r="G23" s="5"/>
      <c r="H23" s="5"/>
      <c r="I23" s="5"/>
      <c r="J23" s="42" t="s">
        <v>348</v>
      </c>
      <c r="K23" s="68"/>
      <c r="L23" s="60">
        <f>IF(C23="Sí",ROUND(Datos!G96*C4/100,2),0)</f>
        <v>0</v>
      </c>
      <c r="M23" s="60">
        <f>L23</f>
        <v>0</v>
      </c>
      <c r="Q23" s="24"/>
      <c r="R23" s="24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4.65" thickBot="1" x14ac:dyDescent="0.5">
      <c r="A24" s="5"/>
      <c r="B24" s="27" t="s">
        <v>150</v>
      </c>
      <c r="C24" s="20" t="s">
        <v>144</v>
      </c>
      <c r="D24" s="5">
        <f>IF(C24="No",0,Datos!G102)</f>
        <v>0</v>
      </c>
      <c r="E24" s="5"/>
      <c r="F24" s="5"/>
      <c r="G24" s="5"/>
      <c r="H24" s="5"/>
      <c r="I24" s="5"/>
      <c r="J24" s="42" t="s">
        <v>159</v>
      </c>
      <c r="K24" s="68"/>
      <c r="L24" s="60">
        <f>IF(C27="Sí",ROUND(C4*MIN(D28:D37)/100,2),0)</f>
        <v>0</v>
      </c>
      <c r="M24" s="60">
        <f>L24</f>
        <v>0</v>
      </c>
      <c r="Q24" s="24"/>
      <c r="R24" s="24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14.65" thickBot="1" x14ac:dyDescent="0.5">
      <c r="A25" s="5"/>
      <c r="B25" s="15" t="s">
        <v>148</v>
      </c>
      <c r="C25" s="20" t="s">
        <v>144</v>
      </c>
      <c r="D25" s="5">
        <f>IF(AND(C24="Sí",C25="Sí"),Datos!G103,0)</f>
        <v>0</v>
      </c>
      <c r="E25" s="5"/>
      <c r="F25" s="5"/>
      <c r="G25" s="5"/>
      <c r="H25" s="5"/>
      <c r="I25" s="5"/>
      <c r="J25" s="42" t="s">
        <v>279</v>
      </c>
      <c r="K25" s="69"/>
      <c r="L25" s="60">
        <f>IF(D21&gt;0,ROUND(C4*MAX(E28:E34,G28:G34)*D21/100,2),0)</f>
        <v>0</v>
      </c>
      <c r="M25" s="60">
        <f>L25</f>
        <v>0</v>
      </c>
      <c r="Q25" s="24"/>
      <c r="R25" s="24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14.65" thickBot="1" x14ac:dyDescent="0.5">
      <c r="A26" s="5"/>
      <c r="B26" s="14" t="s">
        <v>149</v>
      </c>
      <c r="C26" s="21">
        <v>0</v>
      </c>
      <c r="D26" s="5">
        <f>IF(C24="Sí",C26*Datos!G104,0)</f>
        <v>0</v>
      </c>
      <c r="E26" s="5"/>
      <c r="F26" s="5"/>
      <c r="G26" s="5"/>
      <c r="H26" s="5"/>
      <c r="I26" s="5"/>
      <c r="J26" s="61" t="s">
        <v>289</v>
      </c>
      <c r="K26" s="70"/>
      <c r="L26" s="62">
        <f>IF(C21="Sí",ROUND(Datos!G92*C4/100,2),0)</f>
        <v>0</v>
      </c>
      <c r="M26" s="62">
        <f t="shared" si="1"/>
        <v>0</v>
      </c>
      <c r="Q26" s="24"/>
      <c r="R26" s="24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14.65" thickBot="1" x14ac:dyDescent="0.5">
      <c r="A27" s="5"/>
      <c r="B27" s="27" t="s">
        <v>151</v>
      </c>
      <c r="C27" s="20" t="s">
        <v>144</v>
      </c>
      <c r="D27" s="5"/>
      <c r="E27" s="5" t="s">
        <v>131</v>
      </c>
      <c r="F27" s="5" t="s">
        <v>160</v>
      </c>
      <c r="G27" s="5" t="s">
        <v>286</v>
      </c>
      <c r="H27" s="5" t="s">
        <v>287</v>
      </c>
      <c r="I27" s="5"/>
      <c r="J27" s="64" t="s">
        <v>168</v>
      </c>
      <c r="K27" s="65"/>
      <c r="L27" s="66"/>
      <c r="M27" s="65"/>
      <c r="Q27" s="24"/>
      <c r="R27" s="24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4.65" thickBot="1" x14ac:dyDescent="0.5">
      <c r="A28" s="5"/>
      <c r="B28" s="15" t="s">
        <v>152</v>
      </c>
      <c r="C28" s="20">
        <v>0</v>
      </c>
      <c r="D28" s="5">
        <f>IF($C$28&lt;=50,Datos!G107,"")</f>
        <v>16.559999999999999</v>
      </c>
      <c r="E28" s="5" t="str">
        <f>IF(AND(C11=D5,$D12=$D$14,$C$14=F13),Datos!G64,"")</f>
        <v/>
      </c>
      <c r="F28" s="5" t="str">
        <f>IF(AND(OR($C$13=$D$15,$C$13=$D$16),$C$14=F13,C11=D5),Datos!G68,"")</f>
        <v/>
      </c>
      <c r="G28" s="5" t="str">
        <f>IF(AND(C11=D6,$D12=$D$14,$C$14=F13),Datos!G32,"")</f>
        <v/>
      </c>
      <c r="H28" s="5" t="str">
        <f>IF(AND(OR($C$13=$D$15,$C$13=$D$16),$C$14=F13,C11=D6),Datos!G38,"")</f>
        <v/>
      </c>
      <c r="I28" s="5"/>
      <c r="J28" s="9" t="s">
        <v>237</v>
      </c>
      <c r="K28" s="46"/>
      <c r="L28" s="22">
        <f>IF(OR(C30="Funcionario/a de carrera",C30="Funcionario/a en prácticas"),51.68,0)</f>
        <v>0</v>
      </c>
      <c r="M28" s="56">
        <f>L28</f>
        <v>0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4.65" thickBot="1" x14ac:dyDescent="0.5">
      <c r="A29" s="5"/>
      <c r="B29" s="166" t="s">
        <v>239</v>
      </c>
      <c r="C29" s="167"/>
      <c r="D29" s="5">
        <f>IF($C$28&lt;=100,Datos!G108,"")</f>
        <v>33.119999999999997</v>
      </c>
      <c r="E29" s="5" t="str">
        <f>IF(AND(C11=D5,$D$12=$D$14,$C$14=F14),Datos!G65,"")</f>
        <v/>
      </c>
      <c r="F29" s="5" t="str">
        <f>IF(AND(OR($C$13=$D$15,$C$13=$D$16),$C$14=F14,C11=D5),Datos!G69,"")</f>
        <v/>
      </c>
      <c r="G29" s="5" t="str">
        <f>IF(AND(C11=D6,$D12=$D$14,$C$14=F14),Datos!G33,"")</f>
        <v/>
      </c>
      <c r="H29" s="5" t="str">
        <f>IF(AND(OR($C$13=$D$15,$C$13=$D$16),$C$14=F14,C11=D6),Datos!G39,"")</f>
        <v/>
      </c>
      <c r="I29" s="5"/>
      <c r="J29" s="9" t="s">
        <v>238</v>
      </c>
      <c r="K29" s="46"/>
      <c r="L29" s="22">
        <f>IF(AND(OR(C30="Funcionario/a de carrera",C30="Funcionario/a en prácticas"),C31&lt;2011),118.04,0)</f>
        <v>0</v>
      </c>
      <c r="M29" s="56">
        <f>L29</f>
        <v>0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14.65" thickBot="1" x14ac:dyDescent="0.5">
      <c r="A30" s="5"/>
      <c r="B30" s="27" t="s">
        <v>164</v>
      </c>
      <c r="C30" s="20" t="s">
        <v>167</v>
      </c>
      <c r="D30" s="5">
        <f>IF($C$28&lt;=150,Datos!G109,"")</f>
        <v>49.68</v>
      </c>
      <c r="E30" s="5" t="str">
        <f>IF(AND(C11=D5,$D$12=$D$14,$C$14=F15),Datos!G66,"")</f>
        <v/>
      </c>
      <c r="F30" s="5" t="str">
        <f>IF(AND(OR($C$13=$D$15,$C$13=$D$16),$C$14=F15,C11=D5),Datos!G70,"")</f>
        <v/>
      </c>
      <c r="G30" s="5" t="str">
        <f>IF(AND(C11=D6,$D12=$D$14,$C$14=F15),Datos!G34,"")</f>
        <v/>
      </c>
      <c r="H30" s="5" t="str">
        <f>IF(AND(OR($C$13=$D$15,$C$13=$D$16),$C$14=F15,C11=D6),Datos!G40,"")</f>
        <v/>
      </c>
      <c r="I30" s="5"/>
      <c r="J30" s="9" t="s">
        <v>169</v>
      </c>
      <c r="K30" s="46"/>
      <c r="L30" s="22">
        <f>IF(OR(C30=A37,AND(C30=A36,C31&gt;=2011)),(L4+(M4/6))*L69,0)</f>
        <v>0</v>
      </c>
      <c r="M30" s="11">
        <v>0</v>
      </c>
      <c r="P30" s="5"/>
      <c r="Q30" s="5"/>
      <c r="R30" s="5"/>
      <c r="S30" s="5"/>
      <c r="T30" s="5"/>
      <c r="U30" s="5"/>
      <c r="V30" s="5"/>
      <c r="W30" s="5"/>
    </row>
    <row r="31" spans="1:29" ht="14.65" thickBot="1" x14ac:dyDescent="0.5">
      <c r="A31" s="5"/>
      <c r="B31" s="27" t="str">
        <f>IF(C30=A36,"¿En qué año aprobaste la oposición?","")</f>
        <v/>
      </c>
      <c r="C31" s="20"/>
      <c r="D31" s="5">
        <f>IF($C$28&lt;=200,Datos!G110,"")</f>
        <v>66.239999999999995</v>
      </c>
      <c r="E31" s="5" t="str">
        <f>IF(AND(C11=D5,$D$12=$D$14,$C$14=F16),Datos!G67,"")</f>
        <v/>
      </c>
      <c r="F31" s="5" t="str">
        <f>IF(AND(OR($C$13=$D$15,$C$13=$D$16),$C$14=F16,C11=D5),Datos!G71,"")</f>
        <v/>
      </c>
      <c r="G31" s="5" t="str">
        <f>IF(AND(C11=D6,$D12=$D$14,$C$14=F13),Datos!G35,"")</f>
        <v/>
      </c>
      <c r="H31" s="5" t="str">
        <f>IF(AND(OR($C$13=$D$15,$C$13=$D$16),$C$14=F16,C11=D6),Datos!G41,"")</f>
        <v/>
      </c>
      <c r="I31" s="5"/>
      <c r="J31" s="9" t="s">
        <v>170</v>
      </c>
      <c r="K31" s="46"/>
      <c r="L31" s="53">
        <f>IF(C30=A38,L4*0.0647+M4*0.0647/6,0)</f>
        <v>208.66763633333332</v>
      </c>
      <c r="M31" s="11">
        <v>0</v>
      </c>
      <c r="P31" s="5"/>
      <c r="Q31" s="5"/>
      <c r="R31" s="5"/>
      <c r="S31" s="5"/>
      <c r="T31" s="5"/>
      <c r="U31" s="5"/>
      <c r="V31" s="5"/>
      <c r="W31" s="5"/>
    </row>
    <row r="32" spans="1:29" ht="14.65" thickBot="1" x14ac:dyDescent="0.5">
      <c r="A32" s="5"/>
      <c r="B32" s="166" t="s">
        <v>175</v>
      </c>
      <c r="C32" s="167"/>
      <c r="D32" s="5">
        <f>IF($C$28&lt;=250,Datos!G111,"")</f>
        <v>82.8</v>
      </c>
      <c r="E32" s="5" t="str">
        <f>IF(AND($C$13=$D$14,$C$15&lt;&gt;"",$C$15&lt;&gt;$G$13,$C$14=F17),Datos!G36,"")</f>
        <v/>
      </c>
      <c r="F32" s="5"/>
      <c r="G32" s="5" t="str">
        <f>IF(AND(C11=D6,$D12=$D$14,$C$14=F16),Datos!G36,"")</f>
        <v/>
      </c>
      <c r="H32" s="5" t="str">
        <f>IF(AND(OR($C$13=$D$15,$C$13=$D$16),$C$14=F17,C11=D6),Datos!G42,"")</f>
        <v/>
      </c>
      <c r="I32" s="5"/>
      <c r="J32" s="16" t="s">
        <v>171</v>
      </c>
      <c r="K32" s="55">
        <f>L62</f>
        <v>0.21256578750179578</v>
      </c>
      <c r="L32" s="54">
        <f>L4*K32</f>
        <v>602.74729572434205</v>
      </c>
      <c r="M32" s="57">
        <f>M4*K32</f>
        <v>496.86402565394758</v>
      </c>
      <c r="O32" s="5"/>
      <c r="P32" s="5"/>
      <c r="Q32" s="5"/>
      <c r="R32" s="5"/>
      <c r="S32" s="5"/>
      <c r="T32" s="5"/>
      <c r="U32" s="5"/>
      <c r="V32" s="5"/>
      <c r="W32" s="5"/>
    </row>
    <row r="33" spans="1:23" ht="14.65" thickBot="1" x14ac:dyDescent="0.5">
      <c r="A33" s="5"/>
      <c r="B33" s="27" t="s">
        <v>177</v>
      </c>
      <c r="C33" s="20" t="s">
        <v>144</v>
      </c>
      <c r="D33" s="5">
        <f>IF($C$28&lt;=300,Datos!G112,"")</f>
        <v>99.36</v>
      </c>
      <c r="E33" s="5" t="str">
        <f>IF(AND($C$13=$D$14,$C$15&lt;&gt;"",$C$15&lt;&gt;$G$13,$C$14=F18),Datos!G37,"")</f>
        <v/>
      </c>
      <c r="F33" s="5"/>
      <c r="G33" s="5" t="str">
        <f>IF(AND(C11=D6,$D12=$D$14,$C$14=F17),Datos!G37,"")</f>
        <v/>
      </c>
      <c r="H33" s="5"/>
      <c r="I33" s="5"/>
      <c r="O33" s="5" t="s">
        <v>182</v>
      </c>
      <c r="P33" s="5"/>
      <c r="Q33" s="5"/>
      <c r="R33" s="5"/>
      <c r="S33" s="5"/>
      <c r="T33" s="5"/>
      <c r="U33" s="5"/>
      <c r="V33" s="5"/>
      <c r="W33" s="5"/>
    </row>
    <row r="34" spans="1:23" ht="14.65" thickBot="1" x14ac:dyDescent="0.5">
      <c r="A34" s="5"/>
      <c r="B34" s="27" t="s">
        <v>197</v>
      </c>
      <c r="C34" s="148">
        <v>0</v>
      </c>
      <c r="D34" s="5">
        <f>IF($C$28&lt;=350,Datos!G113,"")</f>
        <v>115.92</v>
      </c>
      <c r="E34" s="5"/>
      <c r="F34" s="5" t="str">
        <f>IF(AND(OR($C$13=$D$15,$C$13=$D$16),$C$15&lt;&gt;"",$C$15&lt;&gt;$G$13,$C$14=F19),Datos!G44,"")</f>
        <v/>
      </c>
      <c r="G34" s="5" t="str">
        <f>IF(AND(C11=D6,$D12=$D$14,$C$14=F18),Datos!G38,"")</f>
        <v/>
      </c>
      <c r="H34" s="5"/>
      <c r="I34" s="5"/>
      <c r="J34" s="25"/>
      <c r="K34" s="25"/>
      <c r="L34" s="25"/>
      <c r="M34" s="25"/>
      <c r="O34" s="5" t="s">
        <v>183</v>
      </c>
      <c r="P34" s="5">
        <v>2400</v>
      </c>
      <c r="Q34" s="5">
        <v>2400</v>
      </c>
      <c r="R34" s="5"/>
      <c r="S34" s="5"/>
      <c r="T34" s="5"/>
      <c r="U34" s="5"/>
      <c r="V34" s="5"/>
      <c r="W34" s="5"/>
    </row>
    <row r="35" spans="1:23" ht="14.65" thickBot="1" x14ac:dyDescent="0.5">
      <c r="A35" s="5"/>
      <c r="B35" s="27" t="s">
        <v>196</v>
      </c>
      <c r="C35" s="148">
        <v>0</v>
      </c>
      <c r="D35" s="5">
        <f>IF($C$28&lt;=450,Datos!G114,"")</f>
        <v>132.47999999999999</v>
      </c>
      <c r="E35" s="5"/>
      <c r="F35" s="5"/>
      <c r="G35" s="5"/>
      <c r="H35" s="5"/>
      <c r="I35" s="5"/>
      <c r="J35" s="85" t="s">
        <v>173</v>
      </c>
      <c r="K35" s="86"/>
      <c r="L35" s="87"/>
      <c r="M35" s="25"/>
      <c r="O35" s="5" t="s">
        <v>184</v>
      </c>
      <c r="P35" s="5">
        <v>2700</v>
      </c>
      <c r="Q35" s="5">
        <f>Q34+P35</f>
        <v>5100</v>
      </c>
      <c r="R35" s="5"/>
      <c r="S35" s="5"/>
      <c r="T35" s="5"/>
      <c r="U35" s="5"/>
      <c r="V35" s="5"/>
      <c r="W35" s="5"/>
    </row>
    <row r="36" spans="1:23" ht="14.65" thickBot="1" x14ac:dyDescent="0.5">
      <c r="A36" s="5" t="s">
        <v>165</v>
      </c>
      <c r="B36" s="28" t="s">
        <v>180</v>
      </c>
      <c r="C36" s="20">
        <v>0</v>
      </c>
      <c r="D36" s="5">
        <f>IF($C$28&lt;=450,Datos!G115,"")</f>
        <v>149.04</v>
      </c>
      <c r="E36" s="5"/>
      <c r="F36" s="5"/>
      <c r="G36" s="5"/>
      <c r="H36" s="5"/>
      <c r="I36" s="5"/>
      <c r="J36" s="42" t="s">
        <v>174</v>
      </c>
      <c r="K36" s="43"/>
      <c r="L36" s="81">
        <f>L4*12+M4*2</f>
        <v>38701.879999999997</v>
      </c>
      <c r="O36" s="5" t="s">
        <v>185</v>
      </c>
      <c r="P36" s="5">
        <v>4000</v>
      </c>
      <c r="Q36" s="5">
        <f>Q35+P36</f>
        <v>9100</v>
      </c>
      <c r="R36" s="5"/>
      <c r="S36" s="5"/>
      <c r="T36" s="5"/>
      <c r="U36" s="5"/>
      <c r="V36" s="5"/>
      <c r="W36" s="5"/>
    </row>
    <row r="37" spans="1:23" ht="14.75" customHeight="1" thickBot="1" x14ac:dyDescent="0.5">
      <c r="A37" s="5" t="s">
        <v>166</v>
      </c>
      <c r="B37" s="27" t="s">
        <v>179</v>
      </c>
      <c r="C37" s="20">
        <v>0</v>
      </c>
      <c r="D37" s="5">
        <f>IF($C$28&lt;=1000050,Datos!G116,"")</f>
        <v>165.6</v>
      </c>
      <c r="E37" s="5"/>
      <c r="F37" s="5"/>
      <c r="G37" s="5"/>
      <c r="H37" s="5"/>
      <c r="I37" s="5"/>
      <c r="J37" s="9" t="s">
        <v>265</v>
      </c>
      <c r="K37" s="10"/>
      <c r="L37" s="11">
        <f>IF(AND(C48="Sí",L36&lt;33007.2),TRUNC(L36*0.02),0)</f>
        <v>0</v>
      </c>
      <c r="M37" s="24"/>
      <c r="N37" s="24"/>
      <c r="O37" s="5" t="s">
        <v>186</v>
      </c>
      <c r="P37" s="5">
        <v>4500</v>
      </c>
      <c r="Q37" s="5"/>
      <c r="R37" s="5"/>
      <c r="S37" s="5"/>
      <c r="T37" s="5"/>
      <c r="U37" s="5"/>
      <c r="V37" s="5"/>
      <c r="W37" s="5"/>
    </row>
    <row r="38" spans="1:23" ht="14.75" customHeight="1" thickBot="1" x14ac:dyDescent="0.5">
      <c r="A38" s="5" t="s">
        <v>167</v>
      </c>
      <c r="B38" s="29" t="s">
        <v>202</v>
      </c>
      <c r="C38" s="20" t="s">
        <v>144</v>
      </c>
      <c r="D38" s="5" t="str">
        <f>IF(B70=A69,"Sí","No")</f>
        <v>Sí</v>
      </c>
      <c r="E38" s="5"/>
      <c r="F38" s="5"/>
      <c r="G38" s="5"/>
      <c r="H38" s="5"/>
      <c r="I38" s="5"/>
      <c r="J38" s="9" t="s">
        <v>271</v>
      </c>
      <c r="K38" s="10"/>
      <c r="L38" s="11">
        <f>IF(L36-L39&lt;14047.5,6498,IF(L36-L39&lt;19747.5,6498-(1.14*(L36-L39-14047.5)),0))</f>
        <v>0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4.75" customHeight="1" thickBot="1" x14ac:dyDescent="0.5">
      <c r="A39" s="5" t="s">
        <v>188</v>
      </c>
      <c r="B39" s="27" t="s">
        <v>187</v>
      </c>
      <c r="C39" s="20" t="s">
        <v>188</v>
      </c>
      <c r="D39" s="5"/>
      <c r="E39" s="5"/>
      <c r="F39" s="5"/>
      <c r="G39" s="5"/>
      <c r="H39" s="5"/>
      <c r="I39" s="5"/>
      <c r="J39" s="42" t="s">
        <v>242</v>
      </c>
      <c r="K39" s="43"/>
      <c r="L39" s="81">
        <f>SUM(L27:L30)*14+SUM(M27:M30)*2</f>
        <v>0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4.75" customHeight="1" thickBot="1" x14ac:dyDescent="0.5">
      <c r="A40" s="5" t="s">
        <v>190</v>
      </c>
      <c r="B40" s="29" t="s">
        <v>195</v>
      </c>
      <c r="C40" s="20" t="s">
        <v>144</v>
      </c>
      <c r="D40" s="5"/>
      <c r="E40" s="5"/>
      <c r="F40" s="5"/>
      <c r="G40" s="5"/>
      <c r="H40" s="5"/>
      <c r="I40" s="5"/>
      <c r="J40" s="42" t="s">
        <v>247</v>
      </c>
      <c r="K40" s="43"/>
      <c r="L40" s="81">
        <f>C34+2000+M41</f>
        <v>2000</v>
      </c>
      <c r="M40" s="5"/>
      <c r="N40" s="5"/>
      <c r="O40" s="24"/>
      <c r="P40" s="5"/>
      <c r="Q40" s="5"/>
      <c r="R40" s="5"/>
      <c r="S40" s="5"/>
      <c r="T40" s="5"/>
      <c r="U40" s="5"/>
      <c r="V40" s="5"/>
      <c r="W40" s="5"/>
    </row>
    <row r="41" spans="1:23" ht="14.75" customHeight="1" thickBot="1" x14ac:dyDescent="0.5">
      <c r="A41" s="5" t="s">
        <v>189</v>
      </c>
      <c r="B41" s="27" t="s">
        <v>198</v>
      </c>
      <c r="C41" s="20">
        <v>0</v>
      </c>
      <c r="D41" s="5"/>
      <c r="E41" s="5"/>
      <c r="F41" s="5"/>
      <c r="G41" s="5"/>
      <c r="H41" s="5"/>
      <c r="I41" s="5"/>
      <c r="J41" s="42" t="s">
        <v>176</v>
      </c>
      <c r="K41" s="43"/>
      <c r="L41" s="81">
        <f>IF(C33="Sí",1150+5550,5550)</f>
        <v>5550</v>
      </c>
      <c r="M41" s="5">
        <f>IF(AND(C39=A42,C40="No"),3500,IF(OR(C39=A41,C39=A42),7750,0))</f>
        <v>0</v>
      </c>
      <c r="N41" s="5"/>
      <c r="O41" s="24"/>
      <c r="P41" s="5"/>
      <c r="Q41" s="5"/>
      <c r="R41" s="5"/>
      <c r="S41" s="5"/>
      <c r="T41" s="5"/>
      <c r="U41" s="5"/>
      <c r="V41" s="5"/>
      <c r="W41" s="5"/>
    </row>
    <row r="42" spans="1:23" ht="14.75" customHeight="1" x14ac:dyDescent="0.45">
      <c r="A42" s="5" t="s">
        <v>191</v>
      </c>
      <c r="B42" s="168" t="s">
        <v>213</v>
      </c>
      <c r="C42" s="170">
        <v>0</v>
      </c>
      <c r="D42" s="5"/>
      <c r="E42" s="5"/>
      <c r="F42" s="5"/>
      <c r="G42" s="5"/>
      <c r="H42" s="5"/>
      <c r="I42" s="5"/>
      <c r="J42" s="42" t="s">
        <v>178</v>
      </c>
      <c r="K42" s="43"/>
      <c r="L42" s="81">
        <f>SUM(C71:C74)</f>
        <v>0</v>
      </c>
      <c r="M42" s="5"/>
      <c r="N42" s="5"/>
      <c r="O42" s="24"/>
      <c r="P42" s="5"/>
      <c r="Q42" s="5"/>
      <c r="R42" s="5"/>
      <c r="S42" s="5"/>
      <c r="T42" s="5"/>
      <c r="U42" s="5"/>
      <c r="V42" s="5"/>
      <c r="W42" s="5"/>
    </row>
    <row r="43" spans="1:23" ht="14.75" customHeight="1" x14ac:dyDescent="0.45">
      <c r="A43" s="5"/>
      <c r="B43" s="168"/>
      <c r="C43" s="171"/>
      <c r="D43" s="5"/>
      <c r="E43" s="5"/>
      <c r="F43" s="5"/>
      <c r="G43" s="5"/>
      <c r="H43" s="5"/>
      <c r="I43" s="5"/>
      <c r="J43" s="42" t="s">
        <v>181</v>
      </c>
      <c r="K43" s="43"/>
      <c r="L43" s="81">
        <f>IF(C38="no",M49/2+1400*C37,M49+2800*C37)</f>
        <v>0</v>
      </c>
      <c r="M43" s="5"/>
      <c r="N43" s="5"/>
      <c r="O43" s="24"/>
      <c r="P43" s="5"/>
      <c r="Q43" s="5"/>
      <c r="R43" s="5"/>
      <c r="S43" s="5"/>
      <c r="T43" s="5"/>
      <c r="U43" s="5"/>
      <c r="V43" s="5"/>
      <c r="W43" s="5"/>
    </row>
    <row r="44" spans="1:23" ht="14.75" customHeight="1" thickBot="1" x14ac:dyDescent="0.5">
      <c r="A44" s="5"/>
      <c r="B44" s="169"/>
      <c r="C44" s="172"/>
      <c r="D44" s="5"/>
      <c r="E44" s="5"/>
      <c r="F44" s="5"/>
      <c r="G44" s="5"/>
      <c r="H44" s="5"/>
      <c r="I44" s="5"/>
      <c r="J44" s="42" t="s">
        <v>192</v>
      </c>
      <c r="K44" s="43"/>
      <c r="L44" s="81">
        <f>IF(C39=A41,9000,IF(C39=A42,3000,0))</f>
        <v>0</v>
      </c>
      <c r="M44" s="5"/>
      <c r="N44" s="5"/>
      <c r="O44" s="24"/>
      <c r="P44" s="5"/>
      <c r="Q44" s="5"/>
      <c r="R44" s="5"/>
      <c r="S44" s="5"/>
      <c r="T44" s="5"/>
      <c r="U44" s="5"/>
      <c r="V44" s="5"/>
      <c r="W44" s="5"/>
    </row>
    <row r="45" spans="1:23" ht="14.75" customHeight="1" x14ac:dyDescent="0.45">
      <c r="A45" s="5"/>
      <c r="B45" s="173" t="s">
        <v>213</v>
      </c>
      <c r="C45" s="170">
        <v>0</v>
      </c>
      <c r="D45" s="5"/>
      <c r="E45" s="5"/>
      <c r="F45" s="5"/>
      <c r="G45" s="5"/>
      <c r="H45" s="5"/>
      <c r="I45" s="5"/>
      <c r="J45" s="42" t="s">
        <v>193</v>
      </c>
      <c r="K45" s="43"/>
      <c r="L45" s="81">
        <f>SUM(C75:C78)</f>
        <v>0</v>
      </c>
      <c r="M45" s="5"/>
      <c r="N45" s="5"/>
      <c r="O45" s="24"/>
      <c r="P45" s="5"/>
      <c r="Q45" s="5"/>
      <c r="R45" s="5"/>
      <c r="S45" s="5"/>
      <c r="T45" s="5"/>
      <c r="U45" s="5"/>
      <c r="V45" s="5"/>
      <c r="W45" s="5"/>
    </row>
    <row r="46" spans="1:23" ht="14.75" customHeight="1" x14ac:dyDescent="0.45">
      <c r="A46" s="5"/>
      <c r="B46" s="168"/>
      <c r="C46" s="171"/>
      <c r="D46" s="5"/>
      <c r="E46" s="5"/>
      <c r="F46" s="5"/>
      <c r="G46" s="5"/>
      <c r="H46" s="5"/>
      <c r="I46" s="5"/>
      <c r="J46" s="42" t="s">
        <v>194</v>
      </c>
      <c r="K46" s="43"/>
      <c r="L46" s="81">
        <f>IF(C38="Sí",M51,M51/2)</f>
        <v>0</v>
      </c>
      <c r="M46" s="5"/>
      <c r="N46" s="5"/>
      <c r="O46" s="24"/>
      <c r="P46" s="5"/>
      <c r="Q46" s="5"/>
      <c r="R46" s="5"/>
      <c r="S46" s="5"/>
      <c r="T46" s="5"/>
      <c r="U46" s="5"/>
      <c r="V46" s="5"/>
      <c r="W46" s="5"/>
    </row>
    <row r="47" spans="1:23" ht="14.75" customHeight="1" thickBot="1" x14ac:dyDescent="0.5">
      <c r="A47" s="5"/>
      <c r="B47" s="169"/>
      <c r="C47" s="172"/>
      <c r="D47" s="5"/>
      <c r="E47" s="5"/>
      <c r="F47" s="5"/>
      <c r="G47" s="5"/>
      <c r="H47" s="5"/>
      <c r="I47" s="5"/>
      <c r="J47" s="42" t="s">
        <v>212</v>
      </c>
      <c r="K47" s="43"/>
      <c r="L47" s="81">
        <f>IF(OR(C40="Sí",C39=A41),3000,0)</f>
        <v>0</v>
      </c>
      <c r="M47" s="5"/>
      <c r="N47" s="5"/>
      <c r="O47" s="24"/>
      <c r="P47" s="5"/>
      <c r="Q47" s="5"/>
      <c r="R47" s="5"/>
      <c r="S47" s="5"/>
      <c r="T47" s="5"/>
      <c r="U47" s="5"/>
      <c r="V47" s="5"/>
      <c r="W47" s="5"/>
    </row>
    <row r="48" spans="1:23" ht="14.75" customHeight="1" thickBot="1" x14ac:dyDescent="0.5">
      <c r="A48" s="24"/>
      <c r="B48" s="27" t="s">
        <v>273</v>
      </c>
      <c r="C48" s="20" t="s">
        <v>144</v>
      </c>
      <c r="D48" s="5"/>
      <c r="E48" s="5"/>
      <c r="F48" s="5"/>
      <c r="G48" s="5"/>
      <c r="H48" s="5"/>
      <c r="I48" s="5"/>
      <c r="J48" s="9" t="s">
        <v>214</v>
      </c>
      <c r="K48" s="10"/>
      <c r="L48" s="11">
        <f>SUM(L41:L47)</f>
        <v>5550</v>
      </c>
      <c r="M48" s="5"/>
      <c r="N48" s="5"/>
      <c r="O48" s="24"/>
      <c r="P48" s="5"/>
      <c r="Q48" s="5"/>
      <c r="R48" s="5"/>
      <c r="S48" s="5"/>
      <c r="T48" s="5"/>
      <c r="U48" s="5"/>
      <c r="V48" s="5"/>
      <c r="W48" s="5"/>
    </row>
    <row r="49" spans="1:23" ht="14.75" customHeight="1" thickBot="1" x14ac:dyDescent="0.5">
      <c r="A49" s="24"/>
      <c r="B49" s="27" t="s">
        <v>266</v>
      </c>
      <c r="D49" s="5"/>
      <c r="E49" s="5"/>
      <c r="F49" s="5"/>
      <c r="G49" s="5"/>
      <c r="H49" s="5"/>
      <c r="I49" s="5"/>
      <c r="J49" s="9" t="s">
        <v>215</v>
      </c>
      <c r="K49" s="10"/>
      <c r="L49" s="11">
        <f>MAX(0,L36-L39-L40-L38)</f>
        <v>36701.879999999997</v>
      </c>
      <c r="M49" s="5">
        <f>IF(C36=1,Q34,IF(C36=2,Q35,IF(C36=3,Q36,IF(C36&lt;1,0,Q36+4500*(C36-3)))))</f>
        <v>0</v>
      </c>
      <c r="N49" s="5"/>
      <c r="O49" s="24"/>
      <c r="P49" s="5"/>
      <c r="Q49" s="5"/>
      <c r="R49" s="5"/>
      <c r="S49" s="5"/>
      <c r="T49" s="5"/>
      <c r="U49" s="5"/>
      <c r="V49" s="5"/>
      <c r="W49" s="5"/>
    </row>
    <row r="50" spans="1:23" ht="14.75" customHeight="1" thickBot="1" x14ac:dyDescent="0.5">
      <c r="A50" s="24"/>
      <c r="B50" s="30" t="s">
        <v>199</v>
      </c>
      <c r="C50" s="141"/>
      <c r="D50" s="5"/>
      <c r="E50" s="5"/>
      <c r="F50" s="5"/>
      <c r="G50" s="5"/>
      <c r="H50" s="5"/>
      <c r="I50" s="5"/>
      <c r="J50" s="9" t="s">
        <v>216</v>
      </c>
      <c r="K50" s="10"/>
      <c r="L50" s="11">
        <f>IF(L48&gt;12450,0,MAX(0,MIN(12450,L49)-L48))</f>
        <v>6900</v>
      </c>
      <c r="M50" s="5"/>
      <c r="N50" s="5"/>
      <c r="O50" s="24"/>
      <c r="P50" s="5"/>
      <c r="Q50" s="5"/>
      <c r="R50" s="5"/>
      <c r="S50" s="5"/>
      <c r="T50" s="5"/>
      <c r="U50" s="5"/>
      <c r="V50" s="5"/>
      <c r="W50" s="5"/>
    </row>
    <row r="51" spans="1:23" ht="14.75" customHeight="1" thickBot="1" x14ac:dyDescent="0.5">
      <c r="A51" s="24"/>
      <c r="B51" s="30" t="s">
        <v>200</v>
      </c>
      <c r="C51" s="141" t="s">
        <v>188</v>
      </c>
      <c r="D51" s="5"/>
      <c r="E51" s="5"/>
      <c r="F51" s="5"/>
      <c r="G51" s="5"/>
      <c r="H51" s="5"/>
      <c r="I51" s="5"/>
      <c r="J51" s="9" t="s">
        <v>217</v>
      </c>
      <c r="K51" s="10"/>
      <c r="L51" s="11">
        <f>IF(IF(L48&gt;20200,0,IF(L49&gt;20200,MIN(20200-L48,20200-12450),MIN(L49-L48,L49-12450)))&lt;0,0,IF(L48&gt;20200,0,IF(L49&gt;20200,MIN(20200-L48,20200-12450),MIN(L49-L48,L49-12450))))</f>
        <v>7750</v>
      </c>
      <c r="M51" s="5">
        <f>C41*12000+C42*6000+C45*3000</f>
        <v>0</v>
      </c>
      <c r="N51" s="5"/>
      <c r="O51" s="24"/>
      <c r="P51" s="5"/>
      <c r="Q51" s="5"/>
      <c r="R51" s="5"/>
      <c r="S51" s="5"/>
      <c r="T51" s="5"/>
      <c r="U51" s="5"/>
      <c r="V51" s="5"/>
      <c r="W51" s="5"/>
    </row>
    <row r="52" spans="1:23" ht="14.75" customHeight="1" thickBot="1" x14ac:dyDescent="0.5">
      <c r="A52" s="24"/>
      <c r="B52" s="30" t="s">
        <v>207</v>
      </c>
      <c r="C52" s="20" t="s">
        <v>144</v>
      </c>
      <c r="D52" s="5"/>
      <c r="E52" s="5"/>
      <c r="F52" s="5"/>
      <c r="G52" s="5"/>
      <c r="H52" s="5"/>
      <c r="I52" s="5"/>
      <c r="J52" s="9" t="s">
        <v>218</v>
      </c>
      <c r="K52" s="10"/>
      <c r="L52" s="11">
        <f>IF(IF(L48&gt;35200,0,IF(L49&gt;35200,MIN(35200-L48,35200-20200),MIN(L49-L48,L49-20200)))&lt;0,0,IF(L48&gt;35200,0,IF(L49&gt;35200,MIN(35200-L48,35200-20200),MIN(L49-L48,L49-20200))))</f>
        <v>15000</v>
      </c>
      <c r="M52" s="5"/>
      <c r="N52" s="5"/>
      <c r="O52" s="24"/>
      <c r="P52" s="5"/>
      <c r="Q52" s="5"/>
      <c r="R52" s="5"/>
      <c r="S52" s="5"/>
      <c r="T52" s="5"/>
      <c r="U52" s="5"/>
      <c r="V52" s="5"/>
      <c r="W52" s="5"/>
    </row>
    <row r="53" spans="1:23" ht="14.75" customHeight="1" thickBot="1" x14ac:dyDescent="0.5">
      <c r="A53" s="5"/>
      <c r="B53" s="31" t="s">
        <v>201</v>
      </c>
      <c r="C53" s="141"/>
      <c r="D53" s="5"/>
      <c r="E53" s="5"/>
      <c r="F53" s="5"/>
      <c r="G53" s="5"/>
      <c r="H53" s="5"/>
      <c r="I53" s="5"/>
      <c r="J53" s="9" t="s">
        <v>219</v>
      </c>
      <c r="K53" s="10"/>
      <c r="L53" s="11">
        <f>IF(IF(L48&gt;60000,0,IF(L49&gt;60000,MIN(35200-L48,60000-35200),MIN(L49-L48,L49-35200)))&lt;0,0,IF(L48&gt;60000,0,IF(L49&gt;60000,MIN(35200-L48,60000-35200),MIN(L49-L48,L49-35200))))</f>
        <v>1501.8799999999974</v>
      </c>
      <c r="M53" s="5"/>
      <c r="N53" s="5"/>
      <c r="O53" s="24"/>
      <c r="P53" s="5"/>
      <c r="Q53" s="5"/>
      <c r="R53" s="5"/>
      <c r="S53" s="5"/>
      <c r="T53" s="5"/>
      <c r="U53" s="5"/>
      <c r="V53" s="5"/>
      <c r="W53" s="5"/>
    </row>
    <row r="54" spans="1:23" ht="14.75" customHeight="1" thickBot="1" x14ac:dyDescent="0.5">
      <c r="A54" s="5"/>
      <c r="B54" s="27" t="s">
        <v>267</v>
      </c>
      <c r="H54" s="5"/>
      <c r="I54" s="5"/>
      <c r="J54" s="9" t="s">
        <v>220</v>
      </c>
      <c r="K54" s="10"/>
      <c r="L54" s="11">
        <f>IF(IF(L48&gt;30000,0,IF(L49&gt;300000,MIN(60000-L48,300000-60000),MIN(L49-L48,L49-60000)))&lt;0,0,IF(L48&gt;30000,0,IF(L49&gt;300000,MIN(60000-L48,300000-60000),MIN(L49-L48,L49-60000))))</f>
        <v>0</v>
      </c>
      <c r="M54" s="5"/>
      <c r="N54" s="5"/>
      <c r="O54" s="24"/>
      <c r="P54" s="5"/>
      <c r="Q54" s="5"/>
      <c r="R54" s="5"/>
      <c r="S54" s="5"/>
      <c r="T54" s="5"/>
      <c r="U54" s="5"/>
      <c r="V54" s="5"/>
      <c r="W54" s="5"/>
    </row>
    <row r="55" spans="1:23" ht="14.75" customHeight="1" thickBot="1" x14ac:dyDescent="0.5">
      <c r="A55" s="5"/>
      <c r="B55" s="30" t="s">
        <v>199</v>
      </c>
      <c r="C55" s="141"/>
      <c r="H55" s="5"/>
      <c r="I55" s="5"/>
      <c r="J55" s="9" t="s">
        <v>221</v>
      </c>
      <c r="K55" s="10"/>
      <c r="L55" s="11">
        <f>ROUND(L50*0.19,2)</f>
        <v>1311</v>
      </c>
      <c r="M55" s="5"/>
      <c r="N55" s="5"/>
      <c r="O55" s="24"/>
      <c r="P55" s="5"/>
      <c r="Q55" s="5"/>
      <c r="R55" s="5"/>
      <c r="S55" s="5"/>
      <c r="T55" s="5"/>
      <c r="U55" s="5"/>
      <c r="V55" s="5"/>
      <c r="W55" s="5"/>
    </row>
    <row r="56" spans="1:23" ht="14.75" customHeight="1" thickBot="1" x14ac:dyDescent="0.5">
      <c r="A56" s="5"/>
      <c r="B56" s="30" t="s">
        <v>200</v>
      </c>
      <c r="C56" s="141" t="s">
        <v>188</v>
      </c>
      <c r="G56" s="5"/>
      <c r="H56" s="5"/>
      <c r="I56" s="5"/>
      <c r="J56" s="9" t="s">
        <v>222</v>
      </c>
      <c r="K56" s="10"/>
      <c r="L56" s="11">
        <f>ROUND(L51*0.24,2)</f>
        <v>1860</v>
      </c>
      <c r="M56" s="5"/>
      <c r="N56" s="5"/>
      <c r="P56" s="5"/>
      <c r="Q56" s="5"/>
      <c r="R56" s="5"/>
      <c r="S56" s="5"/>
      <c r="T56" s="5"/>
      <c r="U56" s="5"/>
      <c r="V56" s="5"/>
      <c r="W56" s="5"/>
    </row>
    <row r="57" spans="1:23" ht="14.75" customHeight="1" thickBot="1" x14ac:dyDescent="0.5">
      <c r="A57" s="5"/>
      <c r="B57" s="30" t="s">
        <v>207</v>
      </c>
      <c r="C57" s="20" t="s">
        <v>144</v>
      </c>
      <c r="G57" s="5"/>
      <c r="H57" s="5"/>
      <c r="I57" s="5"/>
      <c r="J57" s="9" t="s">
        <v>223</v>
      </c>
      <c r="K57" s="10"/>
      <c r="L57" s="11">
        <f>ROUND(L52*0.3,2)</f>
        <v>4500</v>
      </c>
      <c r="M57" s="5"/>
      <c r="N57" s="5"/>
      <c r="P57" s="5"/>
      <c r="Q57" s="5"/>
      <c r="R57" s="5"/>
      <c r="S57" s="5"/>
      <c r="T57" s="5"/>
      <c r="U57" s="5"/>
      <c r="V57" s="5"/>
      <c r="W57" s="5"/>
    </row>
    <row r="58" spans="1:23" ht="14.75" customHeight="1" thickBot="1" x14ac:dyDescent="0.5">
      <c r="A58" s="5"/>
      <c r="B58" s="31" t="s">
        <v>201</v>
      </c>
      <c r="C58" s="141"/>
      <c r="G58" s="5"/>
      <c r="H58" s="5"/>
      <c r="I58" s="5"/>
      <c r="J58" s="9" t="s">
        <v>224</v>
      </c>
      <c r="K58" s="10"/>
      <c r="L58" s="11">
        <f>ROUND(L53*0.37,2)</f>
        <v>555.70000000000005</v>
      </c>
      <c r="P58" s="5"/>
      <c r="Q58" s="5"/>
      <c r="R58" s="5"/>
      <c r="S58" s="5"/>
      <c r="T58" s="5"/>
      <c r="U58" s="5"/>
      <c r="V58" s="5"/>
      <c r="W58" s="5"/>
    </row>
    <row r="59" spans="1:23" ht="14.65" thickBot="1" x14ac:dyDescent="0.5">
      <c r="A59" s="5"/>
      <c r="B59" s="27" t="s">
        <v>268</v>
      </c>
      <c r="G59" s="5"/>
      <c r="H59" s="5"/>
      <c r="I59" s="5"/>
      <c r="J59" s="9" t="s">
        <v>225</v>
      </c>
      <c r="K59" s="10"/>
      <c r="L59" s="11">
        <f>ROUND(L54*0.45,2)</f>
        <v>0</v>
      </c>
      <c r="P59" s="5"/>
      <c r="Q59" s="5"/>
      <c r="R59" s="5"/>
      <c r="S59" s="5"/>
      <c r="T59" s="5"/>
      <c r="U59" s="5"/>
      <c r="V59" s="5"/>
      <c r="W59" s="5"/>
    </row>
    <row r="60" spans="1:23" ht="14.65" thickBot="1" x14ac:dyDescent="0.5">
      <c r="A60" s="5"/>
      <c r="B60" s="30" t="s">
        <v>199</v>
      </c>
      <c r="C60" s="141"/>
      <c r="G60" s="5"/>
      <c r="H60" s="5"/>
      <c r="I60" s="5"/>
      <c r="J60" s="9" t="s">
        <v>272</v>
      </c>
      <c r="K60" s="10"/>
      <c r="L60" s="56">
        <f>SUM(L55:L59)</f>
        <v>8226.7000000000007</v>
      </c>
      <c r="P60" s="5"/>
      <c r="Q60" s="5"/>
      <c r="R60" s="5"/>
      <c r="S60" s="5"/>
      <c r="T60" s="5"/>
      <c r="U60" s="5"/>
      <c r="V60" s="5"/>
      <c r="W60" s="5"/>
    </row>
    <row r="61" spans="1:23" ht="14.65" thickBot="1" x14ac:dyDescent="0.5">
      <c r="A61" s="5"/>
      <c r="B61" s="30" t="s">
        <v>200</v>
      </c>
      <c r="C61" s="141" t="s">
        <v>188</v>
      </c>
      <c r="G61" s="5"/>
      <c r="H61" s="5"/>
      <c r="I61" s="5"/>
      <c r="J61" s="9" t="s">
        <v>270</v>
      </c>
      <c r="K61" s="10"/>
      <c r="L61" s="56">
        <f>MAX(0,C130-L37)</f>
        <v>8226.6955999999991</v>
      </c>
      <c r="P61" s="5"/>
      <c r="Q61" s="5"/>
      <c r="R61" s="5"/>
      <c r="S61" s="5"/>
      <c r="T61" s="5"/>
      <c r="U61" s="5"/>
      <c r="V61" s="5"/>
      <c r="W61" s="5"/>
    </row>
    <row r="62" spans="1:23" ht="14.65" thickBot="1" x14ac:dyDescent="0.5">
      <c r="A62" s="5"/>
      <c r="B62" s="32" t="s">
        <v>207</v>
      </c>
      <c r="C62" s="20" t="s">
        <v>144</v>
      </c>
      <c r="G62" s="5"/>
      <c r="H62" s="5"/>
      <c r="I62" s="5"/>
      <c r="J62" s="91" t="s">
        <v>226</v>
      </c>
      <c r="K62" s="92"/>
      <c r="L62" s="93">
        <f>IF(M62&lt;0.02,0.02,M62)</f>
        <v>0.21256578750179578</v>
      </c>
      <c r="M62" s="5">
        <f>IF(L61&lt;L60,L61/L36,L60/L36)</f>
        <v>0.21256578750179578</v>
      </c>
    </row>
    <row r="63" spans="1:23" ht="14.65" thickBot="1" x14ac:dyDescent="0.5">
      <c r="A63" s="5"/>
      <c r="B63" s="31" t="s">
        <v>201</v>
      </c>
      <c r="C63" s="141"/>
      <c r="G63" s="5"/>
      <c r="H63" s="5"/>
      <c r="I63" s="5"/>
    </row>
    <row r="64" spans="1:23" ht="14.65" thickBot="1" x14ac:dyDescent="0.5">
      <c r="A64" s="5"/>
      <c r="B64" s="27" t="s">
        <v>269</v>
      </c>
      <c r="G64" s="5"/>
      <c r="H64" s="5"/>
      <c r="I64" s="5"/>
      <c r="J64" s="85" t="s">
        <v>228</v>
      </c>
      <c r="K64" s="88"/>
      <c r="L64" s="89"/>
    </row>
    <row r="65" spans="1:12" ht="14.65" thickBot="1" x14ac:dyDescent="0.5">
      <c r="A65" s="5"/>
      <c r="B65" s="30" t="s">
        <v>199</v>
      </c>
      <c r="C65" s="141"/>
      <c r="G65" s="5"/>
      <c r="H65" s="5"/>
      <c r="I65" s="5"/>
      <c r="J65" s="9" t="s">
        <v>230</v>
      </c>
      <c r="K65" s="7"/>
      <c r="L65" s="82">
        <v>4.7E-2</v>
      </c>
    </row>
    <row r="66" spans="1:12" ht="14.65" thickBot="1" x14ac:dyDescent="0.5">
      <c r="A66" s="5"/>
      <c r="B66" s="30" t="s">
        <v>200</v>
      </c>
      <c r="C66" s="141" t="s">
        <v>188</v>
      </c>
      <c r="G66" s="5"/>
      <c r="H66" s="5"/>
      <c r="I66" s="5"/>
      <c r="J66" s="9" t="s">
        <v>231</v>
      </c>
      <c r="K66" s="7"/>
      <c r="L66" s="82">
        <v>1.1999999999999999E-3</v>
      </c>
    </row>
    <row r="67" spans="1:12" ht="14.65" thickBot="1" x14ac:dyDescent="0.5">
      <c r="A67" s="5"/>
      <c r="B67" s="32" t="s">
        <v>207</v>
      </c>
      <c r="C67" s="20" t="s">
        <v>144</v>
      </c>
      <c r="G67" s="5"/>
      <c r="H67" s="5"/>
      <c r="I67" s="5"/>
      <c r="J67" s="9" t="s">
        <v>236</v>
      </c>
      <c r="K67" s="7"/>
      <c r="L67" s="82">
        <v>0.28299999999999997</v>
      </c>
    </row>
    <row r="68" spans="1:12" ht="14.65" thickBot="1" x14ac:dyDescent="0.5">
      <c r="A68" s="5"/>
      <c r="B68" s="32" t="s">
        <v>201</v>
      </c>
      <c r="C68" s="141"/>
      <c r="G68" s="5"/>
      <c r="H68" s="5"/>
      <c r="I68" s="5"/>
      <c r="J68" s="9" t="s">
        <v>235</v>
      </c>
      <c r="K68" s="7"/>
      <c r="L68" s="46">
        <v>1.0999999999999999E-2</v>
      </c>
    </row>
    <row r="69" spans="1:12" ht="14.65" thickBot="1" x14ac:dyDescent="0.5">
      <c r="A69" s="35" t="s">
        <v>246</v>
      </c>
      <c r="B69" s="28" t="s">
        <v>243</v>
      </c>
      <c r="C69" s="80">
        <f>IF(B70=A69,1,IF(B70=A70,2,IF(B70=A71,3,0)))</f>
        <v>1</v>
      </c>
      <c r="G69" s="5"/>
      <c r="H69" s="5"/>
      <c r="I69" s="5"/>
      <c r="J69" s="91" t="s">
        <v>234</v>
      </c>
      <c r="K69" s="92"/>
      <c r="L69" s="94">
        <f>L65+L66-(L67*L68)</f>
        <v>4.5087000000000002E-2</v>
      </c>
    </row>
    <row r="70" spans="1:12" ht="42" customHeight="1" thickBot="1" x14ac:dyDescent="0.5">
      <c r="A70" s="35" t="s">
        <v>244</v>
      </c>
      <c r="B70" s="156" t="s">
        <v>246</v>
      </c>
      <c r="C70" s="157"/>
      <c r="G70" s="5"/>
      <c r="H70" s="5"/>
      <c r="I70" s="5"/>
    </row>
    <row r="71" spans="1:12" x14ac:dyDescent="0.45">
      <c r="A71" s="35" t="s">
        <v>245</v>
      </c>
      <c r="B71" s="5" t="s">
        <v>203</v>
      </c>
      <c r="C71" s="5">
        <f>IF(C50&gt;=75,ROUND((1150+1400)/C53,2),IF(C50&gt;=65,ROUND(1150/C53,2),0))</f>
        <v>0</v>
      </c>
      <c r="G71" s="5"/>
      <c r="H71" s="5"/>
      <c r="I71" s="5"/>
      <c r="J71" s="85" t="s">
        <v>229</v>
      </c>
      <c r="K71" s="88"/>
      <c r="L71" s="89"/>
    </row>
    <row r="72" spans="1:12" x14ac:dyDescent="0.45">
      <c r="A72" s="5"/>
      <c r="B72" s="5" t="s">
        <v>204</v>
      </c>
      <c r="C72" s="5">
        <f>IF(C55&gt;=75,ROUND((1150+1400)/C58,2),IF(C55&gt;=65,ROUND(1150/C58,2),0))</f>
        <v>0</v>
      </c>
      <c r="D72" s="5"/>
      <c r="E72" s="5"/>
      <c r="F72" s="5"/>
      <c r="G72" s="5"/>
      <c r="H72" s="5"/>
      <c r="I72" s="5"/>
      <c r="J72" s="9" t="s">
        <v>230</v>
      </c>
      <c r="K72" s="7"/>
      <c r="L72" s="82">
        <v>4.7E-2</v>
      </c>
    </row>
    <row r="73" spans="1:12" x14ac:dyDescent="0.45">
      <c r="A73" s="5"/>
      <c r="B73" s="5" t="s">
        <v>205</v>
      </c>
      <c r="C73" s="5">
        <f>IF(C60&gt;=75,ROUND((1150+1400)/C63,2),IF(C60&gt;=65,ROUND(1150/C63,2),0))</f>
        <v>0</v>
      </c>
      <c r="D73" s="5"/>
      <c r="E73" s="5"/>
      <c r="F73" s="5"/>
      <c r="G73" s="5"/>
      <c r="H73" s="5"/>
      <c r="I73" s="5"/>
      <c r="J73" s="9" t="s">
        <v>231</v>
      </c>
      <c r="K73" s="7"/>
      <c r="L73" s="82">
        <v>1.1999999999999999E-3</v>
      </c>
    </row>
    <row r="74" spans="1:12" x14ac:dyDescent="0.45">
      <c r="A74" s="5"/>
      <c r="B74" s="5" t="s">
        <v>206</v>
      </c>
      <c r="C74" s="5">
        <f>IF(C65&gt;=75,ROUND((1150+1400)/C68,2),IF(C65&gt;=65,ROUND(1150/C68,2),0))</f>
        <v>0</v>
      </c>
      <c r="D74" s="5"/>
      <c r="E74" s="5"/>
      <c r="F74" s="5"/>
      <c r="G74" s="5"/>
      <c r="H74" s="5"/>
      <c r="I74" s="5"/>
      <c r="J74" s="9" t="s">
        <v>232</v>
      </c>
      <c r="K74" s="7"/>
      <c r="L74" s="82">
        <v>1.55E-2</v>
      </c>
    </row>
    <row r="75" spans="1:12" x14ac:dyDescent="0.45">
      <c r="A75" s="25"/>
      <c r="B75" s="5" t="s">
        <v>208</v>
      </c>
      <c r="C75" s="5">
        <f>IF(C50&lt;65,0,IF(C51=A41,ROUND(12000/C53,2),IF(AND(C51=A42,C52="No"),ROUND(3000/C53,2),IF(AND(C51=A42,C52="Sí"),ROUND(6000/C53,2),""))))</f>
        <v>0</v>
      </c>
      <c r="D75" s="5"/>
      <c r="E75" s="5"/>
      <c r="F75" s="5"/>
      <c r="G75" s="5"/>
      <c r="H75" s="5"/>
      <c r="I75" s="5"/>
      <c r="J75" s="9" t="s">
        <v>233</v>
      </c>
      <c r="K75" s="7"/>
      <c r="L75" s="82">
        <v>1E-3</v>
      </c>
    </row>
    <row r="76" spans="1:12" ht="14.65" thickBot="1" x14ac:dyDescent="0.5">
      <c r="A76" s="25"/>
      <c r="B76" s="5" t="s">
        <v>209</v>
      </c>
      <c r="C76" s="5">
        <f>IF(C55&lt;65,0,IF(C56=A41,ROUND(12000/C58,2),IF(AND(C56=A42,C57="No"),ROUND(3000/C58,2),IF(AND(C56=A42,C57="Sí"),ROUND(6000/C58,2),""))))</f>
        <v>0</v>
      </c>
      <c r="D76" s="5"/>
      <c r="E76" s="5"/>
      <c r="F76" s="5"/>
      <c r="G76" s="5"/>
      <c r="H76" s="5"/>
      <c r="I76" s="5"/>
      <c r="J76" s="91" t="s">
        <v>234</v>
      </c>
      <c r="K76" s="92"/>
      <c r="L76" s="93">
        <f>SUM(L72:L75)</f>
        <v>6.4700000000000008E-2</v>
      </c>
    </row>
    <row r="77" spans="1:12" x14ac:dyDescent="0.45">
      <c r="A77" s="25"/>
      <c r="B77" s="5" t="s">
        <v>210</v>
      </c>
      <c r="C77" s="5">
        <f>IF(C60&lt;65,0,IF(C61=A41,ROUND(12000/C63,2),IF(AND(C61=A42,C62="No"),ROUND(3000/C63,2),IF(AND(C61=A42,C62="Sí"),ROUND(6000/C63,2),""))))</f>
        <v>0</v>
      </c>
      <c r="D77" s="5"/>
      <c r="E77" s="5"/>
      <c r="F77" s="5"/>
      <c r="G77" s="5"/>
      <c r="H77" s="5"/>
      <c r="I77" s="5"/>
    </row>
    <row r="78" spans="1:12" x14ac:dyDescent="0.45">
      <c r="A78" s="25"/>
      <c r="B78" s="5" t="s">
        <v>211</v>
      </c>
      <c r="C78" s="5">
        <f>IF(C65&lt;65,0,IF(C66=A41,ROUND(12000/C68,2),IF(AND(C66=A42,C67="No"),ROUND(3000/C68,2),IF(AND(C66=A42,C67="Sí"),ROUND(6000/C68,2),""))))</f>
        <v>0</v>
      </c>
      <c r="D78" s="5"/>
      <c r="E78" s="5"/>
      <c r="F78" s="5"/>
      <c r="G78" s="5"/>
      <c r="H78" s="5"/>
      <c r="I78" s="5"/>
    </row>
    <row r="79" spans="1:12" x14ac:dyDescent="0.45">
      <c r="A79" s="25"/>
      <c r="B79" s="5"/>
      <c r="C79" s="5"/>
      <c r="I79" s="5"/>
    </row>
    <row r="80" spans="1:12" x14ac:dyDescent="0.45">
      <c r="A80" s="25"/>
      <c r="B80" s="5" t="s">
        <v>248</v>
      </c>
      <c r="C80" s="5"/>
      <c r="I80" s="5"/>
    </row>
    <row r="81" spans="1:9" x14ac:dyDescent="0.45">
      <c r="A81" s="25"/>
      <c r="B81" s="5" t="s">
        <v>249</v>
      </c>
      <c r="C81" s="39">
        <f>L49-C35</f>
        <v>36701.879999999997</v>
      </c>
      <c r="I81" s="5"/>
    </row>
    <row r="82" spans="1:9" x14ac:dyDescent="0.45">
      <c r="A82" s="25"/>
      <c r="B82" s="5" t="s">
        <v>250</v>
      </c>
      <c r="C82" s="39">
        <f>C35</f>
        <v>0</v>
      </c>
      <c r="I82" s="5"/>
    </row>
    <row r="83" spans="1:9" x14ac:dyDescent="0.45">
      <c r="A83" s="25"/>
      <c r="B83" s="5" t="s">
        <v>251</v>
      </c>
      <c r="C83" s="40">
        <f>MAX(B85:B90)</f>
        <v>9281.1955999999991</v>
      </c>
      <c r="I83" s="5"/>
    </row>
    <row r="84" spans="1:9" x14ac:dyDescent="0.45">
      <c r="A84" s="25"/>
      <c r="B84" s="5" t="s">
        <v>253</v>
      </c>
      <c r="C84" s="5"/>
      <c r="I84" s="5"/>
    </row>
    <row r="85" spans="1:9" x14ac:dyDescent="0.45">
      <c r="A85" s="25"/>
      <c r="B85" s="5" t="str">
        <f>IF(C81&lt;12450,0+(C81)*0.19,"")</f>
        <v/>
      </c>
      <c r="C85" s="5"/>
      <c r="I85" s="5"/>
    </row>
    <row r="86" spans="1:9" x14ac:dyDescent="0.45">
      <c r="A86" s="25"/>
      <c r="B86" s="5" t="str">
        <f>IF(AND(C81&gt;=12450,C81&lt;20200),2365.5+(C81-12450)*0.24,"")</f>
        <v/>
      </c>
      <c r="C86" s="5"/>
      <c r="I86" s="5"/>
    </row>
    <row r="87" spans="1:9" x14ac:dyDescent="0.45">
      <c r="A87" s="25"/>
      <c r="B87" s="5" t="str">
        <f>IF(AND(C81&gt;=20200,C81&lt;35200),4225.5+(C81-20200)*0.3,"")</f>
        <v/>
      </c>
      <c r="C87" s="5"/>
      <c r="I87" s="5"/>
    </row>
    <row r="88" spans="1:9" x14ac:dyDescent="0.45">
      <c r="A88" s="25"/>
      <c r="B88" s="5">
        <f>IF(AND(C81&gt;=35200,C81&lt;60000),8725.5+(C81-35200)*0.37,"")</f>
        <v>9281.1955999999991</v>
      </c>
      <c r="C88" s="5"/>
      <c r="I88" s="5"/>
    </row>
    <row r="89" spans="1:9" x14ac:dyDescent="0.45">
      <c r="A89" s="25"/>
      <c r="B89" s="5" t="str">
        <f>IF(AND(C81&gt;=60000,C81&lt;300000),17901.5+(C81-60000)*0.45,"")</f>
        <v/>
      </c>
      <c r="C89" s="5"/>
      <c r="I89" s="5"/>
    </row>
    <row r="90" spans="1:9" x14ac:dyDescent="0.45">
      <c r="A90" s="25"/>
      <c r="B90" s="5" t="str">
        <f>IF(C81&gt;300000,125901.5+(C81-300000)*0.47,"")</f>
        <v/>
      </c>
      <c r="C90" s="5"/>
      <c r="I90" s="5"/>
    </row>
    <row r="91" spans="1:9" x14ac:dyDescent="0.45">
      <c r="A91" s="25"/>
      <c r="B91" s="5" t="s">
        <v>252</v>
      </c>
      <c r="C91" s="40">
        <f>MAX(B92:B97)</f>
        <v>0</v>
      </c>
      <c r="I91" s="5"/>
    </row>
    <row r="92" spans="1:9" x14ac:dyDescent="0.45">
      <c r="A92" s="25"/>
      <c r="B92" s="5">
        <f>IF(C82&lt;12450,0+(C82)*0.19,"")</f>
        <v>0</v>
      </c>
      <c r="C92" s="5"/>
      <c r="I92" s="5"/>
    </row>
    <row r="93" spans="1:9" x14ac:dyDescent="0.45">
      <c r="A93" s="25"/>
      <c r="B93" s="5" t="str">
        <f>IF(AND(C82&gt;=12450,C82&lt;20200),2365.5+(C82-12450)*0.24,"")</f>
        <v/>
      </c>
      <c r="C93" s="5"/>
      <c r="I93" s="5"/>
    </row>
    <row r="94" spans="1:9" x14ac:dyDescent="0.45">
      <c r="A94" s="25"/>
      <c r="B94" s="5" t="str">
        <f>IF(AND(C82&gt;=20200,C82&lt;35200),4225.5+(C82-20200)*0.3,"")</f>
        <v/>
      </c>
      <c r="C94" s="5"/>
      <c r="I94" s="5"/>
    </row>
    <row r="95" spans="1:9" x14ac:dyDescent="0.45">
      <c r="A95" s="25"/>
      <c r="B95" s="5" t="str">
        <f>IF(AND(C82&gt;=35200,C82&lt;60000),8725.5+(C82-35200)*0.37,"")</f>
        <v/>
      </c>
      <c r="C95" s="5"/>
      <c r="I95" s="5"/>
    </row>
    <row r="96" spans="1:9" x14ac:dyDescent="0.45">
      <c r="A96" s="25"/>
      <c r="B96" s="5" t="str">
        <f>IF(AND(C82&gt;=60000,C82&lt;300000),17901.5+(C82-60000)*0.45,"")</f>
        <v/>
      </c>
      <c r="C96" s="5"/>
    </row>
    <row r="97" spans="2:3" x14ac:dyDescent="0.45">
      <c r="B97" s="5" t="str">
        <f>IF(C82&gt;300000,125901.5+(C82-300000)*0.47,"")</f>
        <v/>
      </c>
      <c r="C97" s="5"/>
    </row>
    <row r="98" spans="2:3" x14ac:dyDescent="0.45">
      <c r="B98" s="5" t="s">
        <v>254</v>
      </c>
      <c r="C98" s="39">
        <f>IF(AND(C35&gt;0,L49-C35&gt;0),C91+C83,C108)</f>
        <v>9281.1955999999991</v>
      </c>
    </row>
    <row r="99" spans="2:3" x14ac:dyDescent="0.45">
      <c r="B99" s="5" t="s">
        <v>255</v>
      </c>
      <c r="C99" s="40">
        <f>IF(AND(C35&gt;0,L49-C35&gt;0),L48+1980,L48)</f>
        <v>5550</v>
      </c>
    </row>
    <row r="100" spans="2:3" x14ac:dyDescent="0.45">
      <c r="B100" s="5" t="s">
        <v>256</v>
      </c>
      <c r="C100" s="40">
        <f>MAX(B101:B106)</f>
        <v>1054.5</v>
      </c>
    </row>
    <row r="101" spans="2:3" x14ac:dyDescent="0.45">
      <c r="B101" s="5">
        <f>IF(C99&lt;12450,0+(C99)*0.19,"")</f>
        <v>1054.5</v>
      </c>
      <c r="C101" s="5"/>
    </row>
    <row r="102" spans="2:3" x14ac:dyDescent="0.45">
      <c r="B102" s="5" t="str">
        <f>IF(AND(C99&gt;=12450,C99&lt;20200),2365.5+(C99-12450)*0.24,"")</f>
        <v/>
      </c>
      <c r="C102" s="5"/>
    </row>
    <row r="103" spans="2:3" x14ac:dyDescent="0.45">
      <c r="B103" s="5" t="str">
        <f>IF(AND(C99&gt;=20200,C99&lt;35200),4225.5+(C99-20200)*0.3,"")</f>
        <v/>
      </c>
      <c r="C103" s="5"/>
    </row>
    <row r="104" spans="2:3" x14ac:dyDescent="0.45">
      <c r="B104" s="5" t="str">
        <f>IF(AND(C99&gt;=35200,C99&lt;60000),8725.5+(C99-35200)*0.37,"")</f>
        <v/>
      </c>
      <c r="C104" s="5"/>
    </row>
    <row r="105" spans="2:3" x14ac:dyDescent="0.45">
      <c r="B105" s="5" t="str">
        <f>IF(AND(C99&gt;=60000,C99&lt;300000),17901.5+(C99-60000)*0.45,"")</f>
        <v/>
      </c>
      <c r="C105" s="5"/>
    </row>
    <row r="106" spans="2:3" x14ac:dyDescent="0.45">
      <c r="B106" s="5" t="str">
        <f>IF(C99&gt;300000,125901.5+(C99-300000)*0.47,"")</f>
        <v/>
      </c>
      <c r="C106" s="5"/>
    </row>
    <row r="107" spans="2:3" x14ac:dyDescent="0.45">
      <c r="B107" s="5" t="s">
        <v>257</v>
      </c>
      <c r="C107" s="41">
        <f>IF(C98&gt;C100,C98-C100,L60)</f>
        <v>8226.6955999999991</v>
      </c>
    </row>
    <row r="108" spans="2:3" x14ac:dyDescent="0.45">
      <c r="B108" s="5" t="s">
        <v>258</v>
      </c>
      <c r="C108" s="40">
        <f>MAX(B109:B115)</f>
        <v>9281.1955999999991</v>
      </c>
    </row>
    <row r="109" spans="2:3" x14ac:dyDescent="0.45">
      <c r="B109" s="5" t="str">
        <f>IF(L49&lt;12450,0+(L49)*0.19,"")</f>
        <v/>
      </c>
      <c r="C109" s="5"/>
    </row>
    <row r="110" spans="2:3" x14ac:dyDescent="0.45">
      <c r="B110" s="5" t="str">
        <f>IF(AND(L49&gt;=12450,L49&lt;20200),2365.5+(L49-12450)*0.24,"")</f>
        <v/>
      </c>
      <c r="C110" s="5"/>
    </row>
    <row r="111" spans="2:3" x14ac:dyDescent="0.45">
      <c r="B111" s="5" t="str">
        <f>IF(AND(L49&gt;=20200,L49&lt;35200),4225.5+(L49-20200)*0.3,"")</f>
        <v/>
      </c>
      <c r="C111" s="5"/>
    </row>
    <row r="112" spans="2:3" x14ac:dyDescent="0.45">
      <c r="B112" s="5">
        <f>IF(AND(L49&gt;=35200,L49&lt;60000),8725.5+(L49-35200)*0.37,"")</f>
        <v>9281.1955999999991</v>
      </c>
      <c r="C112" s="5"/>
    </row>
    <row r="113" spans="2:3" x14ac:dyDescent="0.45">
      <c r="B113" s="5" t="str">
        <f>IF(AND(L49&gt;=60000,L49&lt;300000),17901.5+(L49-60000)*0.45,"")</f>
        <v/>
      </c>
      <c r="C113" s="5"/>
    </row>
    <row r="114" spans="2:3" x14ac:dyDescent="0.45">
      <c r="B114" s="5" t="str">
        <f>IF(L49&gt;300000,125901.5+(L49-300000)*0.47,"")</f>
        <v/>
      </c>
      <c r="C114" s="5"/>
    </row>
    <row r="115" spans="2:3" x14ac:dyDescent="0.45">
      <c r="B115" s="5"/>
      <c r="C115" s="5"/>
    </row>
    <row r="116" spans="2:3" x14ac:dyDescent="0.45">
      <c r="B116" s="5"/>
      <c r="C116" s="5"/>
    </row>
    <row r="117" spans="2:3" x14ac:dyDescent="0.45">
      <c r="B117" s="5" t="s">
        <v>259</v>
      </c>
      <c r="C117" s="5"/>
    </row>
    <row r="118" spans="2:3" x14ac:dyDescent="0.45">
      <c r="B118" s="5" t="s">
        <v>261</v>
      </c>
      <c r="C118" s="5"/>
    </row>
    <row r="119" spans="2:3" x14ac:dyDescent="0.45">
      <c r="B119" s="5" t="s">
        <v>260</v>
      </c>
      <c r="C119" s="5"/>
    </row>
    <row r="120" spans="2:3" x14ac:dyDescent="0.45">
      <c r="B120" s="5">
        <f>IF(AND(L36&lt;=35200,C69=1,C36=1),(L36-(17270+C119+C120))*0.43,0)</f>
        <v>0</v>
      </c>
      <c r="C120" s="5"/>
    </row>
    <row r="121" spans="2:3" x14ac:dyDescent="0.45">
      <c r="B121" s="5">
        <f>IF(AND(L36&lt;=35200,C69=1,C36&gt;1),(L36-(18617+C119+C120))*0.43,0)</f>
        <v>0</v>
      </c>
      <c r="C121" s="5"/>
    </row>
    <row r="122" spans="2:3" x14ac:dyDescent="0.45">
      <c r="B122" s="5">
        <f>IF(AND(L36&lt;=35200,C69=2,C36=0),(L36-(16696+C119+C120))*0.43,0)</f>
        <v>0</v>
      </c>
      <c r="C122" s="5"/>
    </row>
    <row r="123" spans="2:3" x14ac:dyDescent="0.45">
      <c r="B123" s="5">
        <f>IF(AND(L36&lt;=35200,C69=2,C36=1),(L36-(17894+C119+C120))*0.43,0)</f>
        <v>0</v>
      </c>
      <c r="C123" s="5"/>
    </row>
    <row r="124" spans="2:3" x14ac:dyDescent="0.45">
      <c r="B124" s="5">
        <f>IF(AND(L36&lt;=35200,C69=2,C36&gt;1),(L36-(19241+C119+C120))*0.43,0)</f>
        <v>0</v>
      </c>
      <c r="C124" s="5"/>
    </row>
    <row r="125" spans="2:3" x14ac:dyDescent="0.45">
      <c r="B125" s="5">
        <f>IF(AND(L36&lt;=35200,C69=3,C36=0),(L36-(15000+C119+C120))*0.43,0)</f>
        <v>0</v>
      </c>
      <c r="C125" s="5"/>
    </row>
    <row r="126" spans="2:3" x14ac:dyDescent="0.45">
      <c r="B126" s="5">
        <f>IF(AND(L36&lt;=35200,C69=3,C36=1),(L36-(15599+C119+C120))*0.43,0)</f>
        <v>0</v>
      </c>
      <c r="C126" s="5"/>
    </row>
    <row r="127" spans="2:3" x14ac:dyDescent="0.45">
      <c r="B127" s="5">
        <f>IF(AND(L36&lt;=35200,C69=3,C36&gt;1),(L36-(16272+C119+C120))*0.43,0)</f>
        <v>0</v>
      </c>
      <c r="C127" s="5"/>
    </row>
    <row r="128" spans="2:3" x14ac:dyDescent="0.45">
      <c r="B128" s="5" t="s">
        <v>263</v>
      </c>
      <c r="C128" s="5" t="str">
        <f>IF(MAX(B120:B127)&gt;0,"Sí","No")</f>
        <v>No</v>
      </c>
    </row>
    <row r="129" spans="2:3" x14ac:dyDescent="0.45">
      <c r="B129" s="5" t="s">
        <v>264</v>
      </c>
      <c r="C129" s="5">
        <f>MAX(B120:B127)</f>
        <v>0</v>
      </c>
    </row>
    <row r="130" spans="2:3" x14ac:dyDescent="0.45">
      <c r="B130" s="5" t="s">
        <v>262</v>
      </c>
      <c r="C130" s="41">
        <f>IF(C128="No",C107,IF(C107&gt;C129,C129,C107))</f>
        <v>8226.6955999999991</v>
      </c>
    </row>
    <row r="131" spans="2:3" x14ac:dyDescent="0.45">
      <c r="B131" s="5"/>
      <c r="C131" s="5"/>
    </row>
    <row r="132" spans="2:3" x14ac:dyDescent="0.45">
      <c r="B132" s="5"/>
      <c r="C132" s="5"/>
    </row>
    <row r="133" spans="2:3" x14ac:dyDescent="0.45">
      <c r="B133" s="5"/>
      <c r="C133" s="5"/>
    </row>
    <row r="134" spans="2:3" x14ac:dyDescent="0.45">
      <c r="B134" s="5"/>
      <c r="C134" s="5"/>
    </row>
    <row r="135" spans="2:3" x14ac:dyDescent="0.45">
      <c r="B135" s="5"/>
      <c r="C135" s="5"/>
    </row>
    <row r="136" spans="2:3" x14ac:dyDescent="0.45">
      <c r="B136" s="5"/>
      <c r="C136" s="5"/>
    </row>
    <row r="137" spans="2:3" x14ac:dyDescent="0.45">
      <c r="B137" s="5"/>
      <c r="C137" s="5"/>
    </row>
    <row r="138" spans="2:3" x14ac:dyDescent="0.45">
      <c r="B138" s="5"/>
      <c r="C138" s="5"/>
    </row>
  </sheetData>
  <sheetProtection algorithmName="SHA-512" hashValue="qmwci6KfkZA3CKO89fmTf0oQGmUOpgf+hvgWpdW+JtiMICR4QZJ/9TKYmm1q3sp8FGtE8vGZTv7WwTLZxplMow==" saltValue="mG+BPW46z+3xZ5uWYZJ5oA==" spinCount="100000" sheet="1" objects="1" scenarios="1"/>
  <mergeCells count="12">
    <mergeCell ref="M4:M5"/>
    <mergeCell ref="B29:C29"/>
    <mergeCell ref="B70:C70"/>
    <mergeCell ref="B3:C3"/>
    <mergeCell ref="J3:K3"/>
    <mergeCell ref="J4:K5"/>
    <mergeCell ref="L4:L5"/>
    <mergeCell ref="B32:C32"/>
    <mergeCell ref="B42:B44"/>
    <mergeCell ref="C42:C44"/>
    <mergeCell ref="B45:B47"/>
    <mergeCell ref="C45:C47"/>
  </mergeCells>
  <dataValidations count="18">
    <dataValidation type="list" allowBlank="1" showInputMessage="1" showErrorMessage="1" sqref="B70">
      <formula1>$A$69:$A$71</formula1>
    </dataValidation>
    <dataValidation type="list" allowBlank="1" showInputMessage="1" showErrorMessage="1" sqref="C39 C66 C56 C51 C61">
      <formula1>$A$39:$A$43</formula1>
    </dataValidation>
    <dataValidation type="whole" allowBlank="1" showInputMessage="1" showErrorMessage="1" sqref="C45">
      <formula1>0</formula1>
      <formula2>C41</formula2>
    </dataValidation>
    <dataValidation type="whole" allowBlank="1" showInputMessage="1" showErrorMessage="1" sqref="C53 C58 C63 C68">
      <formula1>0</formula1>
      <formula2>20</formula2>
    </dataValidation>
    <dataValidation type="whole" allowBlank="1" showInputMessage="1" showErrorMessage="1" sqref="C50 C55 C60 C65">
      <formula1>18</formula1>
      <formula2>130</formula2>
    </dataValidation>
    <dataValidation type="whole" allowBlank="1" showInputMessage="1" showErrorMessage="1" sqref="C37 C41:C42">
      <formula1>0</formula1>
      <formula2>C36</formula2>
    </dataValidation>
    <dataValidation type="whole" allowBlank="1" showInputMessage="1" showErrorMessage="1" sqref="C36">
      <formula1>0</formula1>
      <formula2>100</formula2>
    </dataValidation>
    <dataValidation type="list" allowBlank="1" showInputMessage="1" showErrorMessage="1" sqref="C30">
      <formula1>$A$36:$A$38</formula1>
    </dataValidation>
    <dataValidation type="whole" allowBlank="1" showInputMessage="1" showErrorMessage="1" sqref="C31">
      <formula1>1980</formula1>
      <formula2>2023</formula2>
    </dataValidation>
    <dataValidation type="whole" allowBlank="1" showInputMessage="1" showErrorMessage="1" sqref="C28">
      <formula1>0</formula1>
      <formula2>10000</formula2>
    </dataValidation>
    <dataValidation type="whole" allowBlank="1" showInputMessage="1" showErrorMessage="1" sqref="C26">
      <formula1>0</formula1>
      <formula2>30</formula2>
    </dataValidation>
    <dataValidation type="list" allowBlank="1" showInputMessage="1" showErrorMessage="1" sqref="C27 C48 C67 C62 C57 C52 C40 C38 C33 C15:C25">
      <formula1>$H$13:$H$14</formula1>
    </dataValidation>
    <dataValidation type="list" allowBlank="1" showInputMessage="1" showErrorMessage="1" sqref="C14">
      <formula1>$F$13:$F$18</formula1>
    </dataValidation>
    <dataValidation type="list" allowBlank="1" showInputMessage="1" showErrorMessage="1" sqref="C13">
      <formula1>$D$13:$D$20</formula1>
    </dataValidation>
    <dataValidation type="decimal" allowBlank="1" showInputMessage="1" showErrorMessage="1" sqref="C4:C5">
      <formula1>0</formula1>
      <formula2>100</formula2>
    </dataValidation>
    <dataValidation type="whole" allowBlank="1" showInputMessage="1" showErrorMessage="1" sqref="C12">
      <formula1>0</formula1>
      <formula2>5</formula2>
    </dataValidation>
    <dataValidation type="whole" allowBlank="1" showInputMessage="1" showErrorMessage="1" sqref="C6:C10">
      <formula1>0</formula1>
      <formula2>14</formula2>
    </dataValidation>
    <dataValidation type="list" allowBlank="1" showInputMessage="1" showErrorMessage="1" sqref="C11">
      <formula1>$D$5:$D$6</formula1>
    </dataValidation>
  </dataValidations>
  <hyperlinks>
    <hyperlink ref="B2" location="Inicio!A1" display="Ir a inicio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8"/>
  <sheetViews>
    <sheetView showRowColHeaders="0" zoomScaleNormal="100" workbookViewId="0">
      <selection activeCell="B2" sqref="B2"/>
    </sheetView>
  </sheetViews>
  <sheetFormatPr baseColWidth="10" defaultRowHeight="14.25" x14ac:dyDescent="0.45"/>
  <cols>
    <col min="1" max="1" width="0.53125" style="4" customWidth="1"/>
    <col min="2" max="2" width="55.86328125" style="4" customWidth="1"/>
    <col min="3" max="3" width="26.19921875" style="4" customWidth="1"/>
    <col min="4" max="4" width="2.265625" style="24" customWidth="1"/>
    <col min="5" max="5" width="1" style="24" customWidth="1"/>
    <col min="6" max="6" width="0.796875" style="24" hidden="1" customWidth="1"/>
    <col min="7" max="7" width="6.640625E-2" style="24" hidden="1" customWidth="1"/>
    <col min="8" max="8" width="6.19921875" style="24" hidden="1" customWidth="1"/>
    <col min="9" max="9" width="1.1328125" style="4" customWidth="1"/>
    <col min="10" max="10" width="10.6640625" style="4"/>
    <col min="11" max="11" width="41.33203125" style="4" customWidth="1"/>
    <col min="12" max="12" width="17.73046875" style="4" customWidth="1"/>
    <col min="13" max="13" width="17.9296875" style="4" customWidth="1"/>
    <col min="14" max="14" width="5.3984375" style="4" customWidth="1"/>
    <col min="15" max="15" width="4.73046875" style="4" customWidth="1"/>
    <col min="16" max="16384" width="10.6640625" style="4"/>
  </cols>
  <sheetData>
    <row r="1" spans="1:29" ht="118.5" customHeight="1" thickBot="1" x14ac:dyDescent="0.5">
      <c r="O1"/>
    </row>
    <row r="2" spans="1:29" ht="19.149999999999999" customHeight="1" thickBot="1" x14ac:dyDescent="0.5">
      <c r="B2" s="96" t="s">
        <v>293</v>
      </c>
      <c r="L2" s="33" t="s">
        <v>241</v>
      </c>
      <c r="M2" s="34" t="s">
        <v>172</v>
      </c>
      <c r="Q2" s="24"/>
      <c r="R2" s="24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8.25" customHeight="1" thickBot="1" x14ac:dyDescent="0.7">
      <c r="B3" s="158" t="s">
        <v>240</v>
      </c>
      <c r="C3" s="159"/>
      <c r="J3" s="160" t="s">
        <v>227</v>
      </c>
      <c r="K3" s="161"/>
      <c r="L3" s="84">
        <f>L4-SUM(L28:L32)</f>
        <v>1917.5747300905218</v>
      </c>
      <c r="M3" s="84">
        <f>M4-SUM(M28:M32)</f>
        <v>1872.9012804568713</v>
      </c>
      <c r="Q3" s="24"/>
      <c r="R3" s="24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8.399999999999999" customHeight="1" thickBot="1" x14ac:dyDescent="0.5">
      <c r="A4" s="24"/>
      <c r="B4" s="26" t="s">
        <v>274</v>
      </c>
      <c r="C4" s="49">
        <v>100</v>
      </c>
      <c r="D4" s="50" t="s">
        <v>140</v>
      </c>
      <c r="J4" s="162" t="s">
        <v>121</v>
      </c>
      <c r="K4" s="163"/>
      <c r="L4" s="152">
        <f>SUM(L6:L26)</f>
        <v>2659.55</v>
      </c>
      <c r="M4" s="152">
        <f>SUM(M6:M26)</f>
        <v>2355.0699999999997</v>
      </c>
      <c r="Q4" s="24"/>
      <c r="R4" s="24"/>
      <c r="S4" s="5"/>
      <c r="T4" s="5" t="s">
        <v>122</v>
      </c>
      <c r="U4" s="5"/>
      <c r="V4" s="5">
        <f>$C$6*Datos!G15</f>
        <v>0</v>
      </c>
      <c r="W4" s="5">
        <f>$C$6*Datos!G16</f>
        <v>0</v>
      </c>
      <c r="X4" s="5"/>
      <c r="Y4" s="5"/>
      <c r="Z4" s="5"/>
      <c r="AA4" s="5"/>
      <c r="AB4" s="5"/>
      <c r="AC4" s="5"/>
    </row>
    <row r="5" spans="1:29" ht="18.399999999999999" customHeight="1" thickBot="1" x14ac:dyDescent="0.5">
      <c r="A5" s="24"/>
      <c r="B5" s="26" t="s">
        <v>163</v>
      </c>
      <c r="C5" s="48"/>
      <c r="D5" s="5" t="s">
        <v>285</v>
      </c>
      <c r="E5" s="5"/>
      <c r="F5" s="5"/>
      <c r="G5" s="5"/>
      <c r="H5" s="5"/>
      <c r="I5" s="5"/>
      <c r="J5" s="164"/>
      <c r="K5" s="165"/>
      <c r="L5" s="153"/>
      <c r="M5" s="153"/>
      <c r="Q5" s="24"/>
      <c r="R5" s="24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x14ac:dyDescent="0.45">
      <c r="A6" s="24"/>
      <c r="B6" s="6" t="str">
        <f>T4</f>
        <v>Trienios A1</v>
      </c>
      <c r="C6" s="17">
        <v>0</v>
      </c>
      <c r="D6" s="5" t="s">
        <v>288</v>
      </c>
      <c r="E6" s="5"/>
      <c r="F6" s="5"/>
      <c r="G6" s="5"/>
      <c r="H6" s="5"/>
      <c r="I6" s="5"/>
      <c r="J6" s="63" t="s">
        <v>118</v>
      </c>
      <c r="K6" s="67"/>
      <c r="L6" s="59">
        <f>ROUND((C4/100)*Datos!G6,2)</f>
        <v>1124.8499999999999</v>
      </c>
      <c r="M6" s="59">
        <f>ROUND((C4/100)*Datos!G7,2)</f>
        <v>820.37</v>
      </c>
      <c r="Q6" s="24"/>
      <c r="R6" s="24"/>
      <c r="S6" s="5"/>
      <c r="T6" s="5" t="s">
        <v>123</v>
      </c>
      <c r="U6" s="5"/>
      <c r="V6" s="5">
        <f>$C$7*Datos!G17</f>
        <v>0</v>
      </c>
      <c r="W6" s="5">
        <f>$C$7*Datos!G18</f>
        <v>0</v>
      </c>
      <c r="X6" s="5"/>
      <c r="Y6" s="5"/>
      <c r="Z6" s="5"/>
      <c r="AA6" s="5"/>
      <c r="AB6" s="5"/>
      <c r="AC6" s="5"/>
    </row>
    <row r="7" spans="1:29" x14ac:dyDescent="0.45">
      <c r="A7" s="24"/>
      <c r="B7" s="8" t="str">
        <f t="shared" ref="B7:B10" si="0">T6</f>
        <v>Trienios A2</v>
      </c>
      <c r="C7" s="18">
        <v>0</v>
      </c>
      <c r="D7" s="5"/>
      <c r="E7" s="5"/>
      <c r="F7" s="5"/>
      <c r="G7" s="5"/>
      <c r="H7" s="5"/>
      <c r="I7" s="5"/>
      <c r="J7" s="42" t="s">
        <v>119</v>
      </c>
      <c r="K7"/>
      <c r="L7" s="60">
        <f>ROUND(($C$4/100)*Datos!G9,2)</f>
        <v>683.75</v>
      </c>
      <c r="M7" s="60">
        <f>L7</f>
        <v>683.75</v>
      </c>
      <c r="Q7" s="24"/>
      <c r="R7" s="24"/>
      <c r="S7" s="5"/>
      <c r="T7" s="5" t="s">
        <v>124</v>
      </c>
      <c r="U7" s="5"/>
      <c r="V7" s="5">
        <f>$C$8*Datos!G19</f>
        <v>0</v>
      </c>
      <c r="W7" s="5">
        <f>$C$8*Datos!G20</f>
        <v>0</v>
      </c>
      <c r="X7" s="5"/>
      <c r="Y7" s="5"/>
      <c r="Z7" s="5"/>
      <c r="AA7" s="5"/>
      <c r="AB7" s="5"/>
      <c r="AC7" s="5"/>
    </row>
    <row r="8" spans="1:29" x14ac:dyDescent="0.45">
      <c r="A8" s="24"/>
      <c r="B8" s="8" t="str">
        <f t="shared" si="0"/>
        <v>Trienios C1</v>
      </c>
      <c r="C8" s="18">
        <v>0</v>
      </c>
      <c r="D8" s="5"/>
      <c r="E8" s="5"/>
      <c r="F8" s="5"/>
      <c r="G8" s="5"/>
      <c r="H8" s="5"/>
      <c r="I8" s="5"/>
      <c r="J8" s="42" t="s">
        <v>120</v>
      </c>
      <c r="K8" s="68"/>
      <c r="L8" s="60">
        <f>ROUND(($C$4/100)*Datos!G13,2)</f>
        <v>850.95</v>
      </c>
      <c r="M8" s="60">
        <f>L8</f>
        <v>850.95</v>
      </c>
      <c r="Q8" s="24"/>
      <c r="R8" s="24"/>
      <c r="S8" s="5"/>
      <c r="T8" s="5" t="s">
        <v>125</v>
      </c>
      <c r="U8" s="5"/>
      <c r="V8" s="5">
        <f>$C$9*Datos!G21</f>
        <v>0</v>
      </c>
      <c r="W8" s="5">
        <f>$C$9*Datos!G22</f>
        <v>0</v>
      </c>
      <c r="X8" s="5"/>
      <c r="Y8" s="5"/>
      <c r="Z8" s="5"/>
      <c r="AA8" s="5"/>
      <c r="AB8" s="5"/>
      <c r="AC8" s="5"/>
    </row>
    <row r="9" spans="1:29" x14ac:dyDescent="0.45">
      <c r="A9" s="24"/>
      <c r="B9" s="8" t="str">
        <f t="shared" si="0"/>
        <v>Trienios C2</v>
      </c>
      <c r="C9" s="18">
        <v>0</v>
      </c>
      <c r="D9" s="5"/>
      <c r="E9" s="5"/>
      <c r="F9" s="5"/>
      <c r="G9" s="5"/>
      <c r="H9" s="5"/>
      <c r="I9" s="5"/>
      <c r="J9" s="42" t="s">
        <v>126</v>
      </c>
      <c r="K9" s="68"/>
      <c r="L9" s="60">
        <f>IF(SUM(C6:C10)&gt;0,ROUND(V12*C4/100,2),0)</f>
        <v>0</v>
      </c>
      <c r="M9" s="60">
        <f>W12</f>
        <v>0</v>
      </c>
      <c r="Q9" s="24"/>
      <c r="R9" s="24"/>
      <c r="S9" s="5"/>
      <c r="T9" s="5" t="s">
        <v>127</v>
      </c>
      <c r="U9" s="5"/>
      <c r="V9" s="5">
        <f>$C$10*Datos!G23</f>
        <v>0</v>
      </c>
      <c r="W9" s="5">
        <f>$C$10*Datos!G24</f>
        <v>0</v>
      </c>
      <c r="X9" s="5"/>
      <c r="Y9" s="5"/>
      <c r="Z9" s="5"/>
      <c r="AA9" s="5"/>
      <c r="AB9" s="5"/>
      <c r="AC9" s="5"/>
    </row>
    <row r="10" spans="1:29" ht="14.65" thickBot="1" x14ac:dyDescent="0.5">
      <c r="A10" s="24"/>
      <c r="B10" s="12" t="str">
        <f t="shared" si="0"/>
        <v>Trienios agrupaciones especiales</v>
      </c>
      <c r="C10" s="19">
        <v>0</v>
      </c>
      <c r="D10" s="5"/>
      <c r="E10" s="5"/>
      <c r="F10" s="5"/>
      <c r="G10" s="5"/>
      <c r="H10" s="5"/>
      <c r="I10" s="5"/>
      <c r="J10" s="42" t="s">
        <v>153</v>
      </c>
      <c r="K10" s="68"/>
      <c r="L10" s="60">
        <f>IF(C12&gt;0,ROUND(N13*C4/100,2),0)</f>
        <v>0</v>
      </c>
      <c r="M10" s="60">
        <f>L10</f>
        <v>0</v>
      </c>
      <c r="Q10" s="24"/>
      <c r="R10" s="24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4.65" thickBot="1" x14ac:dyDescent="0.5">
      <c r="A11" s="5"/>
      <c r="B11" s="27" t="s">
        <v>284</v>
      </c>
      <c r="C11" s="20" t="s">
        <v>285</v>
      </c>
      <c r="D11" s="5"/>
      <c r="E11" s="5"/>
      <c r="F11" s="5"/>
      <c r="G11" s="5"/>
      <c r="H11" s="5"/>
      <c r="I11" s="5"/>
      <c r="J11" s="42" t="s">
        <v>24</v>
      </c>
      <c r="K11" s="68"/>
      <c r="L11" s="60">
        <f>IF(C13=D14,ROUND(C4*MAX(E28:E33,G28:G33)/100,2),0)</f>
        <v>0</v>
      </c>
      <c r="M11" s="60">
        <f t="shared" ref="M11:M26" si="1">L11</f>
        <v>0</v>
      </c>
      <c r="Q11" s="24"/>
      <c r="R11" s="24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4.65" thickBot="1" x14ac:dyDescent="0.5">
      <c r="A12" s="5"/>
      <c r="B12" s="27" t="s">
        <v>129</v>
      </c>
      <c r="C12" s="20">
        <v>0</v>
      </c>
      <c r="D12" s="5" t="str">
        <f>IF(OR(C13=D14,C13=D18,C13=D19,C13=D20),D14,"")</f>
        <v/>
      </c>
      <c r="E12" s="5"/>
      <c r="F12" s="5"/>
      <c r="G12" s="5"/>
      <c r="H12" s="5"/>
      <c r="I12" s="5"/>
      <c r="J12" s="42" t="s">
        <v>39</v>
      </c>
      <c r="K12" s="68"/>
      <c r="L12" s="60">
        <f>IF(C13=D16,ROUND(C4*MAX(F28:F32,H28:H32)/100,2),0)</f>
        <v>0</v>
      </c>
      <c r="M12" s="60">
        <f t="shared" si="1"/>
        <v>0</v>
      </c>
      <c r="Q12" s="24"/>
      <c r="R12" s="24"/>
      <c r="S12" s="5"/>
      <c r="T12" s="5" t="s">
        <v>128</v>
      </c>
      <c r="U12" s="5"/>
      <c r="V12" s="5">
        <f>SUM(V4:V9)</f>
        <v>0</v>
      </c>
      <c r="W12" s="5">
        <f>SUM(W4:W9)</f>
        <v>0</v>
      </c>
      <c r="X12" s="5"/>
      <c r="Y12" s="5"/>
      <c r="Z12" s="5"/>
      <c r="AA12" s="5"/>
      <c r="AB12" s="5"/>
      <c r="AC12" s="5"/>
    </row>
    <row r="13" spans="1:29" ht="14.65" thickBot="1" x14ac:dyDescent="0.5">
      <c r="A13" s="5"/>
      <c r="B13" s="27" t="s">
        <v>280</v>
      </c>
      <c r="C13" s="20" t="s">
        <v>141</v>
      </c>
      <c r="D13" s="5" t="s">
        <v>141</v>
      </c>
      <c r="E13" s="5"/>
      <c r="F13" s="5" t="s">
        <v>27</v>
      </c>
      <c r="G13" s="5" t="s">
        <v>136</v>
      </c>
      <c r="H13" s="5" t="s">
        <v>143</v>
      </c>
      <c r="I13" s="5"/>
      <c r="J13" s="42" t="s">
        <v>40</v>
      </c>
      <c r="K13" s="68"/>
      <c r="L13" s="99">
        <f>IF(C13=D15,ROUND(C4*MAX(F28:F32,H28:H32)/100,2),0)</f>
        <v>0</v>
      </c>
      <c r="M13" s="60">
        <f t="shared" si="1"/>
        <v>0</v>
      </c>
      <c r="N13" s="5">
        <f>IF(C12=1,Datos!J26,IF(C12=2,Datos!J27,IF(C12=3,Datos!J28,IF(C12=4,Datos!J29,IF(C12=5,Datos!J30,0)))))</f>
        <v>0</v>
      </c>
      <c r="Q13" s="24"/>
      <c r="R13" s="24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4.65" thickBot="1" x14ac:dyDescent="0.5">
      <c r="A14" s="5"/>
      <c r="B14" s="27" t="s">
        <v>130</v>
      </c>
      <c r="C14" s="20" t="s">
        <v>27</v>
      </c>
      <c r="D14" s="5" t="s">
        <v>132</v>
      </c>
      <c r="E14" s="5"/>
      <c r="F14" s="5" t="s">
        <v>28</v>
      </c>
      <c r="G14" s="5" t="s">
        <v>137</v>
      </c>
      <c r="H14" s="5" t="s">
        <v>144</v>
      </c>
      <c r="I14" s="5"/>
      <c r="J14" s="42" t="s">
        <v>154</v>
      </c>
      <c r="K14" s="68"/>
      <c r="L14" s="60">
        <f>IF(C13=D17,ROUND(Datos!G77*'Especialistas Sec. Singulares'!C4/100,2),0)</f>
        <v>0</v>
      </c>
      <c r="M14" s="60">
        <f t="shared" si="1"/>
        <v>0</v>
      </c>
      <c r="Q14" s="24"/>
      <c r="R14" s="24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4.65" thickBot="1" x14ac:dyDescent="0.5">
      <c r="A15" s="5"/>
      <c r="B15" s="27" t="s">
        <v>53</v>
      </c>
      <c r="C15" s="20" t="s">
        <v>144</v>
      </c>
      <c r="D15" s="5" t="s">
        <v>133</v>
      </c>
      <c r="E15" s="5"/>
      <c r="F15" s="5" t="s">
        <v>29</v>
      </c>
      <c r="G15" s="5" t="s">
        <v>138</v>
      </c>
      <c r="H15" s="5"/>
      <c r="I15" s="5"/>
      <c r="J15" s="42" t="str">
        <f>B16</f>
        <v>Jefatura de Residencia Tipo A</v>
      </c>
      <c r="K15" s="68"/>
      <c r="L15" s="60">
        <f>IF(C16="Sí",ROUND(Datos!G85*'Especialistas Sec. Singulares'!C4/100,2),0)</f>
        <v>0</v>
      </c>
      <c r="M15" s="60">
        <f t="shared" si="1"/>
        <v>0</v>
      </c>
      <c r="Q15" s="24"/>
      <c r="R15" s="24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4.65" thickBot="1" x14ac:dyDescent="0.5">
      <c r="A16" s="5"/>
      <c r="B16" s="27" t="s">
        <v>50</v>
      </c>
      <c r="C16" s="20" t="s">
        <v>144</v>
      </c>
      <c r="D16" s="5" t="s">
        <v>134</v>
      </c>
      <c r="E16" s="5"/>
      <c r="F16" s="5" t="s">
        <v>30</v>
      </c>
      <c r="G16" s="5" t="s">
        <v>139</v>
      </c>
      <c r="H16" s="5" t="s">
        <v>144</v>
      </c>
      <c r="I16" s="5"/>
      <c r="J16" s="42" t="str">
        <f>B17</f>
        <v>Jefatura de Residencia Tipo B</v>
      </c>
      <c r="K16" s="68"/>
      <c r="L16" s="60">
        <f>IF(C17="Sí",ROUND(Datos!G86*'Especialistas Sec. Singulares'!C4/100,2),0)</f>
        <v>0</v>
      </c>
      <c r="M16" s="60">
        <f t="shared" si="1"/>
        <v>0</v>
      </c>
      <c r="Q16" s="24"/>
      <c r="R16" s="24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4.65" thickBot="1" x14ac:dyDescent="0.5">
      <c r="A17" s="5"/>
      <c r="B17" s="27" t="s">
        <v>51</v>
      </c>
      <c r="C17" s="20" t="s">
        <v>144</v>
      </c>
      <c r="D17" s="5" t="s">
        <v>142</v>
      </c>
      <c r="E17" s="5"/>
      <c r="F17" s="5" t="s">
        <v>31</v>
      </c>
      <c r="G17" s="5"/>
      <c r="H17" s="5" t="s">
        <v>145</v>
      </c>
      <c r="I17" s="5"/>
      <c r="J17" s="42" t="str">
        <f>B18</f>
        <v>Jefatura de Residencia de CEE</v>
      </c>
      <c r="K17" s="68"/>
      <c r="L17" s="60">
        <f>IF(C18="Sí",ROUND(Datos!G87*'Especialistas Sec. Singulares'!C4/100,2),0)</f>
        <v>0</v>
      </c>
      <c r="M17" s="60">
        <f t="shared" si="1"/>
        <v>0</v>
      </c>
      <c r="Q17" s="24"/>
      <c r="R17" s="24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14.65" thickBot="1" x14ac:dyDescent="0.5">
      <c r="A18" s="5"/>
      <c r="B18" s="27" t="s">
        <v>104</v>
      </c>
      <c r="C18" s="20" t="s">
        <v>144</v>
      </c>
      <c r="D18" s="5" t="s">
        <v>281</v>
      </c>
      <c r="E18" s="5"/>
      <c r="F18" s="5" t="s">
        <v>32</v>
      </c>
      <c r="G18" s="5"/>
      <c r="H18" s="5" t="s">
        <v>146</v>
      </c>
      <c r="I18" s="5"/>
      <c r="J18" s="42" t="str">
        <f>B19</f>
        <v>Coordinación Equipos de Atención Hospitalaria y Domiciliaria</v>
      </c>
      <c r="K18" s="68"/>
      <c r="L18" s="60">
        <f>IF(C19="Sí",ROUND(Datos!G89*'Especialistas Sec. Singulares'!C4/100,2),0)</f>
        <v>0</v>
      </c>
      <c r="M18" s="60">
        <f t="shared" si="1"/>
        <v>0</v>
      </c>
      <c r="Q18" s="24"/>
      <c r="R18" s="24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14.65" thickBot="1" x14ac:dyDescent="0.5">
      <c r="A19" s="5"/>
      <c r="B19" s="27" t="s">
        <v>102</v>
      </c>
      <c r="C19" s="20" t="s">
        <v>144</v>
      </c>
      <c r="D19" s="5" t="s">
        <v>282</v>
      </c>
      <c r="E19" s="5"/>
      <c r="F19" s="5"/>
      <c r="G19" s="5"/>
      <c r="H19" s="5" t="s">
        <v>147</v>
      </c>
      <c r="I19" s="5"/>
      <c r="J19" s="42" t="str">
        <f>B20</f>
        <v>Coordinación Programa Recuperación Pueblos Abandonados</v>
      </c>
      <c r="K19" s="68"/>
      <c r="L19" s="60">
        <f>IF(C20="Sí",ROUND(Datos!G90*'Especialistas Sec. Singulares'!C4/100,2),0)</f>
        <v>0</v>
      </c>
      <c r="M19" s="60">
        <f t="shared" si="1"/>
        <v>0</v>
      </c>
      <c r="Q19" s="24"/>
      <c r="R19" s="24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14.65" thickBot="1" x14ac:dyDescent="0.5">
      <c r="A20" s="5"/>
      <c r="B20" s="27" t="s">
        <v>103</v>
      </c>
      <c r="C20" s="20" t="s">
        <v>144</v>
      </c>
      <c r="D20" s="5" t="s">
        <v>283</v>
      </c>
      <c r="E20" s="5"/>
      <c r="F20" s="5"/>
      <c r="G20" s="5"/>
      <c r="H20" s="5"/>
      <c r="I20" s="5"/>
      <c r="J20" s="42" t="s">
        <v>53</v>
      </c>
      <c r="K20" s="68"/>
      <c r="L20" s="60">
        <f>IF(C15="Sí",ROUND(Datos!G91*'Especialistas Sec. Singulares'!C4/100,2),0)</f>
        <v>0</v>
      </c>
      <c r="M20" s="60">
        <f t="shared" si="1"/>
        <v>0</v>
      </c>
      <c r="Q20" s="24"/>
      <c r="R20" s="24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14.65" thickBot="1" x14ac:dyDescent="0.5">
      <c r="A21" s="5"/>
      <c r="B21" s="27" t="s">
        <v>54</v>
      </c>
      <c r="C21" s="20" t="s">
        <v>144</v>
      </c>
      <c r="D21" s="5">
        <f>IF(C13=D18,0.25,IF(C13=D19,0.4,IF(C13=D20,0.6,0)))</f>
        <v>0</v>
      </c>
      <c r="E21" s="5"/>
      <c r="F21" s="5"/>
      <c r="G21" s="5"/>
      <c r="H21" s="5"/>
      <c r="I21" s="5"/>
      <c r="J21" s="42" t="s">
        <v>276</v>
      </c>
      <c r="K21" s="68"/>
      <c r="L21" s="60">
        <f>IF(C22="Sí",ROUND(Datos!G97*'Especialistas Sec. Singulares'!C4/100,2),0)</f>
        <v>0</v>
      </c>
      <c r="M21" s="60">
        <f t="shared" si="1"/>
        <v>0</v>
      </c>
      <c r="Q21" s="24"/>
      <c r="R21" s="24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14.65" thickBot="1" x14ac:dyDescent="0.5">
      <c r="A22" s="5"/>
      <c r="B22" s="27" t="s">
        <v>275</v>
      </c>
      <c r="C22" s="20" t="s">
        <v>144</v>
      </c>
      <c r="D22" s="5"/>
      <c r="E22" s="5"/>
      <c r="F22" s="5"/>
      <c r="G22" s="5"/>
      <c r="H22" s="5"/>
      <c r="I22" s="5"/>
      <c r="J22" s="42" t="s">
        <v>158</v>
      </c>
      <c r="K22" s="68"/>
      <c r="L22" s="60">
        <f>IF(C24="Sí",ROUND(C4*SUM(D24:D26)/100,2),0)</f>
        <v>0</v>
      </c>
      <c r="M22" s="60">
        <f>L22</f>
        <v>0</v>
      </c>
      <c r="Q22" s="24"/>
      <c r="R22" s="24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14.65" thickBot="1" x14ac:dyDescent="0.5">
      <c r="A23" s="5"/>
      <c r="B23" s="27" t="s">
        <v>347</v>
      </c>
      <c r="C23" s="20" t="s">
        <v>144</v>
      </c>
      <c r="D23" s="5"/>
      <c r="E23" s="5"/>
      <c r="F23" s="5"/>
      <c r="G23" s="5"/>
      <c r="H23" s="5"/>
      <c r="I23" s="5"/>
      <c r="J23" s="42" t="s">
        <v>348</v>
      </c>
      <c r="K23" s="68"/>
      <c r="L23" s="60">
        <f>IF(C23="Sí",ROUND(Datos!G96*C4/100,2),0)</f>
        <v>0</v>
      </c>
      <c r="M23" s="60">
        <f>L23</f>
        <v>0</v>
      </c>
      <c r="Q23" s="24"/>
      <c r="R23" s="24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4.65" thickBot="1" x14ac:dyDescent="0.5">
      <c r="A24" s="5"/>
      <c r="B24" s="27" t="s">
        <v>150</v>
      </c>
      <c r="C24" s="20" t="s">
        <v>144</v>
      </c>
      <c r="D24" s="5">
        <f>IF(C24="No",0,Datos!G102)</f>
        <v>0</v>
      </c>
      <c r="E24" s="5"/>
      <c r="F24" s="5"/>
      <c r="G24" s="5"/>
      <c r="H24" s="5"/>
      <c r="I24" s="5"/>
      <c r="J24" s="42" t="s">
        <v>159</v>
      </c>
      <c r="K24" s="68"/>
      <c r="L24" s="60">
        <f>IF(C27="Sí",ROUND(C4*MIN(D28:D37)/100,2),0)</f>
        <v>0</v>
      </c>
      <c r="M24" s="60">
        <f>L24</f>
        <v>0</v>
      </c>
      <c r="Q24" s="24"/>
      <c r="R24" s="24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14.65" thickBot="1" x14ac:dyDescent="0.5">
      <c r="A25" s="5"/>
      <c r="B25" s="15" t="s">
        <v>148</v>
      </c>
      <c r="C25" s="20" t="s">
        <v>144</v>
      </c>
      <c r="D25" s="5">
        <f>IF(AND(C24="Sí",C25="Sí"),Datos!G103,0)</f>
        <v>0</v>
      </c>
      <c r="E25" s="5"/>
      <c r="F25" s="5"/>
      <c r="G25" s="5"/>
      <c r="H25" s="5"/>
      <c r="I25" s="5"/>
      <c r="J25" s="42" t="s">
        <v>279</v>
      </c>
      <c r="K25" s="69"/>
      <c r="L25" s="60">
        <f>IF(D21&gt;0,ROUND(C4*MAX(E28:E34,G28:G34)*D21/100,2),0)</f>
        <v>0</v>
      </c>
      <c r="M25" s="60">
        <f>L25</f>
        <v>0</v>
      </c>
      <c r="Q25" s="24"/>
      <c r="R25" s="24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14.65" thickBot="1" x14ac:dyDescent="0.5">
      <c r="A26" s="5"/>
      <c r="B26" s="14" t="s">
        <v>149</v>
      </c>
      <c r="C26" s="21">
        <v>0</v>
      </c>
      <c r="D26" s="5">
        <f>IF(C24="Sí",C26*Datos!G104,0)</f>
        <v>0</v>
      </c>
      <c r="E26" s="5"/>
      <c r="F26" s="5"/>
      <c r="G26" s="5"/>
      <c r="H26" s="5"/>
      <c r="I26" s="5"/>
      <c r="J26" s="61" t="s">
        <v>289</v>
      </c>
      <c r="K26" s="70"/>
      <c r="L26" s="62">
        <f>IF(C21="Sí",ROUND(Datos!G92*C4/100,2),0)</f>
        <v>0</v>
      </c>
      <c r="M26" s="62">
        <f t="shared" si="1"/>
        <v>0</v>
      </c>
      <c r="Q26" s="24"/>
      <c r="R26" s="24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14.65" thickBot="1" x14ac:dyDescent="0.5">
      <c r="A27" s="5"/>
      <c r="B27" s="27" t="s">
        <v>151</v>
      </c>
      <c r="C27" s="20" t="s">
        <v>144</v>
      </c>
      <c r="D27" s="5"/>
      <c r="E27" s="5" t="s">
        <v>131</v>
      </c>
      <c r="F27" s="5" t="s">
        <v>160</v>
      </c>
      <c r="G27" s="5" t="s">
        <v>286</v>
      </c>
      <c r="H27" s="5" t="s">
        <v>287</v>
      </c>
      <c r="I27" s="5"/>
      <c r="J27" s="64" t="s">
        <v>168</v>
      </c>
      <c r="K27" s="65"/>
      <c r="L27" s="66"/>
      <c r="M27" s="65"/>
      <c r="Q27" s="24"/>
      <c r="R27" s="24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4.65" thickBot="1" x14ac:dyDescent="0.5">
      <c r="A28" s="5"/>
      <c r="B28" s="15" t="s">
        <v>152</v>
      </c>
      <c r="C28" s="20">
        <v>0</v>
      </c>
      <c r="D28" s="5">
        <f>IF($C$28&lt;=50,Datos!G107,"")</f>
        <v>16.559999999999999</v>
      </c>
      <c r="E28" s="5" t="str">
        <f>IF(AND(C11=D5,$D12=$D$14,$C$14=F13),Datos!G64,"")</f>
        <v/>
      </c>
      <c r="F28" s="5" t="str">
        <f>IF(AND(OR($C$13=$D$15,$C$13=$D$16),$C$14=F13,C11=D5),Datos!G68,"")</f>
        <v/>
      </c>
      <c r="G28" s="5" t="str">
        <f>IF(AND(C11=D6,$D12=$D$14,$C$14=F13),Datos!G32,"")</f>
        <v/>
      </c>
      <c r="H28" s="5" t="str">
        <f>IF(AND(OR($C$13=$D$15,$C$13=$D$16),$C$14=F13,C11=D6),Datos!G38,"")</f>
        <v/>
      </c>
      <c r="I28" s="5"/>
      <c r="J28" s="9" t="s">
        <v>237</v>
      </c>
      <c r="K28" s="46"/>
      <c r="L28" s="22">
        <f>IF(OR(C30=A37,C30=A36),40.68*C4/100,0)</f>
        <v>0</v>
      </c>
      <c r="M28" s="56">
        <f>L28</f>
        <v>0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4.65" thickBot="1" x14ac:dyDescent="0.5">
      <c r="A29" s="5"/>
      <c r="B29" s="166" t="s">
        <v>239</v>
      </c>
      <c r="C29" s="167"/>
      <c r="D29" s="5">
        <f>IF($C$28&lt;=100,Datos!G108,"")</f>
        <v>33.119999999999997</v>
      </c>
      <c r="E29" s="5" t="str">
        <f>IF(AND(C11=D5,$D$12=$D$14,$C$14=F14),Datos!G65,"")</f>
        <v/>
      </c>
      <c r="F29" s="5" t="str">
        <f>IF(AND(OR($C$13=$D$15,$C$13=$D$16),$C$14=F14,C11=D5),Datos!G69,"")</f>
        <v/>
      </c>
      <c r="G29" s="5" t="str">
        <f>IF(AND(C11=D6,$D12=$D$14,$C$14=F14),Datos!G33,"")</f>
        <v/>
      </c>
      <c r="H29" s="5" t="str">
        <f>IF(AND(OR($C$13=$D$15,$C$13=$D$16),$C$14=F14,C11=D6),Datos!G39,"")</f>
        <v/>
      </c>
      <c r="I29" s="5"/>
      <c r="J29" s="9" t="s">
        <v>238</v>
      </c>
      <c r="K29" s="46"/>
      <c r="L29" s="22">
        <f>IF(AND(OR(C30=A37,C30=A36),C31&lt;2011),92.9*C4/100,0)</f>
        <v>0</v>
      </c>
      <c r="M29" s="56">
        <f>L29</f>
        <v>0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14.65" thickBot="1" x14ac:dyDescent="0.5">
      <c r="A30" s="5"/>
      <c r="B30" s="27" t="s">
        <v>164</v>
      </c>
      <c r="C30" s="20" t="s">
        <v>167</v>
      </c>
      <c r="D30" s="5">
        <f>IF($C$28&lt;=150,Datos!G109,"")</f>
        <v>49.68</v>
      </c>
      <c r="E30" s="5" t="str">
        <f>IF(AND(C11=D5,$D$12=$D$14,$C$14=F15),Datos!G66,"")</f>
        <v/>
      </c>
      <c r="F30" s="5" t="str">
        <f>IF(AND(OR($C$13=$D$15,$C$13=$D$16),$C$14=F15,C11=D5),Datos!G70,"")</f>
        <v/>
      </c>
      <c r="G30" s="5" t="str">
        <f>IF(AND(C11=D6,$D12=$D$14,$C$14=F15),Datos!G34,"")</f>
        <v/>
      </c>
      <c r="H30" s="5" t="str">
        <f>IF(AND(OR($C$13=$D$15,$C$13=$D$16),$C$14=F15,C11=D6),Datos!G40,"")</f>
        <v/>
      </c>
      <c r="I30" s="5"/>
      <c r="J30" s="9" t="s">
        <v>169</v>
      </c>
      <c r="K30" s="46"/>
      <c r="L30" s="22">
        <f>IF(OR(C30=A37,AND(C30=A36,C31&gt;=2011)),(L4+(M4/6))*L69,0)</f>
        <v>0</v>
      </c>
      <c r="M30" s="11">
        <v>0</v>
      </c>
      <c r="P30" s="5"/>
      <c r="Q30" s="5"/>
      <c r="R30" s="5"/>
      <c r="S30" s="5"/>
      <c r="T30" s="5"/>
      <c r="U30" s="5"/>
      <c r="V30" s="5"/>
      <c r="W30" s="5"/>
    </row>
    <row r="31" spans="1:29" ht="14.65" thickBot="1" x14ac:dyDescent="0.5">
      <c r="A31" s="5"/>
      <c r="B31" s="27" t="str">
        <f>IF(C30=A36,"¿En qué año aprobaste la oposición?","")</f>
        <v/>
      </c>
      <c r="C31" s="20"/>
      <c r="D31" s="5">
        <f>IF($C$28&lt;=200,Datos!G110,"")</f>
        <v>66.239999999999995</v>
      </c>
      <c r="E31" s="5" t="str">
        <f>IF(AND(C11=D5,$D$12=$D$14,$C$14=F16),Datos!G67,"")</f>
        <v/>
      </c>
      <c r="F31" s="5" t="str">
        <f>IF(AND(OR($C$13=$D$15,$C$13=$D$16),$C$14=F16,C11=D5),Datos!G71,"")</f>
        <v/>
      </c>
      <c r="G31" s="5" t="str">
        <f>IF(AND(C11=D6,$D12=$D$14,$C$14=F13),Datos!G35,"")</f>
        <v/>
      </c>
      <c r="H31" s="5" t="str">
        <f>IF(AND(OR($C$13=$D$15,$C$13=$D$16),$C$14=F16,C11=D6),Datos!G41,"")</f>
        <v/>
      </c>
      <c r="I31" s="5"/>
      <c r="J31" s="9" t="s">
        <v>170</v>
      </c>
      <c r="K31" s="46"/>
      <c r="L31" s="53">
        <f>IF(C30=A38,L4*0.0647+M4*0.0647/6,0)</f>
        <v>197.4683898333333</v>
      </c>
      <c r="M31" s="11">
        <v>0</v>
      </c>
      <c r="P31" s="5"/>
      <c r="Q31" s="5"/>
      <c r="R31" s="5"/>
      <c r="S31" s="5"/>
      <c r="T31" s="5"/>
      <c r="U31" s="5"/>
      <c r="V31" s="5"/>
      <c r="W31" s="5"/>
    </row>
    <row r="32" spans="1:29" ht="14.65" thickBot="1" x14ac:dyDescent="0.5">
      <c r="A32" s="5"/>
      <c r="B32" s="166" t="s">
        <v>175</v>
      </c>
      <c r="C32" s="167"/>
      <c r="D32" s="5">
        <f>IF($C$28&lt;=250,Datos!G111,"")</f>
        <v>82.8</v>
      </c>
      <c r="E32" s="5" t="str">
        <f>IF(AND($C$13=$D$14,$C$15&lt;&gt;"",$C$15&lt;&gt;$G$13,$C$14=F17),Datos!G36,"")</f>
        <v/>
      </c>
      <c r="F32" s="5"/>
      <c r="G32" s="5" t="str">
        <f>IF(AND(C11=D6,$D12=$D$14,$C$14=F16),Datos!G36,"")</f>
        <v/>
      </c>
      <c r="H32" s="5" t="str">
        <f>IF(AND(OR($C$13=$D$15,$C$13=$D$16),$C$14=F17,C11=D6),Datos!G42,"")</f>
        <v/>
      </c>
      <c r="I32" s="5"/>
      <c r="J32" s="16" t="s">
        <v>171</v>
      </c>
      <c r="K32" s="55">
        <f>L62</f>
        <v>0.20473647048415905</v>
      </c>
      <c r="L32" s="54">
        <f>L4*K32</f>
        <v>544.50688007614519</v>
      </c>
      <c r="M32" s="57">
        <f>M4*K32</f>
        <v>482.16871954312842</v>
      </c>
      <c r="O32" s="5"/>
      <c r="P32" s="5"/>
      <c r="Q32" s="5"/>
      <c r="R32" s="5"/>
      <c r="S32" s="5"/>
      <c r="T32" s="5"/>
      <c r="U32" s="5"/>
      <c r="V32" s="5"/>
      <c r="W32" s="5"/>
    </row>
    <row r="33" spans="1:23" ht="14.65" thickBot="1" x14ac:dyDescent="0.5">
      <c r="A33" s="5"/>
      <c r="B33" s="27" t="s">
        <v>177</v>
      </c>
      <c r="C33" s="20" t="s">
        <v>144</v>
      </c>
      <c r="D33" s="5">
        <f>IF($C$28&lt;=300,Datos!G112,"")</f>
        <v>99.36</v>
      </c>
      <c r="E33" s="5" t="str">
        <f>IF(AND($C$13=$D$14,$C$15&lt;&gt;"",$C$15&lt;&gt;$G$13,$C$14=F18),Datos!G37,"")</f>
        <v/>
      </c>
      <c r="F33" s="5"/>
      <c r="G33" s="5" t="str">
        <f>IF(AND(C11=D6,$D12=$D$14,$C$14=F17),Datos!G37,"")</f>
        <v/>
      </c>
      <c r="H33" s="5"/>
      <c r="I33" s="5"/>
      <c r="O33" s="5" t="s">
        <v>182</v>
      </c>
      <c r="P33" s="5"/>
      <c r="Q33" s="5"/>
      <c r="R33" s="5"/>
      <c r="S33" s="5"/>
      <c r="T33" s="5"/>
      <c r="U33" s="5"/>
      <c r="V33" s="5"/>
      <c r="W33" s="5"/>
    </row>
    <row r="34" spans="1:23" ht="14.65" thickBot="1" x14ac:dyDescent="0.5">
      <c r="A34" s="5"/>
      <c r="B34" s="27" t="s">
        <v>197</v>
      </c>
      <c r="C34" s="148">
        <v>0</v>
      </c>
      <c r="D34" s="5">
        <f>IF($C$28&lt;=350,Datos!G113,"")</f>
        <v>115.92</v>
      </c>
      <c r="E34" s="5"/>
      <c r="F34" s="5" t="str">
        <f>IF(AND(OR($C$13=$D$15,$C$13=$D$16),$C$15&lt;&gt;"",$C$15&lt;&gt;$G$13,$C$14=F19),Datos!G44,"")</f>
        <v/>
      </c>
      <c r="G34" s="5" t="str">
        <f>IF(AND(C11=D6,$D12=$D$14,$C$14=F18),Datos!G38,"")</f>
        <v/>
      </c>
      <c r="H34" s="5"/>
      <c r="I34" s="5"/>
      <c r="J34" s="25"/>
      <c r="K34" s="25"/>
      <c r="L34" s="25"/>
      <c r="M34" s="25"/>
      <c r="O34" s="5" t="s">
        <v>183</v>
      </c>
      <c r="P34" s="5">
        <v>2400</v>
      </c>
      <c r="Q34" s="5">
        <v>2400</v>
      </c>
      <c r="R34" s="5"/>
      <c r="S34" s="5"/>
      <c r="T34" s="5"/>
      <c r="U34" s="5"/>
      <c r="V34" s="5"/>
      <c r="W34" s="5"/>
    </row>
    <row r="35" spans="1:23" ht="14.65" thickBot="1" x14ac:dyDescent="0.5">
      <c r="A35" s="5"/>
      <c r="B35" s="27" t="s">
        <v>196</v>
      </c>
      <c r="C35" s="148">
        <v>0</v>
      </c>
      <c r="D35" s="5">
        <f>IF($C$28&lt;=450,Datos!G114,"")</f>
        <v>132.47999999999999</v>
      </c>
      <c r="E35" s="5"/>
      <c r="F35" s="5"/>
      <c r="G35" s="5"/>
      <c r="H35" s="5"/>
      <c r="I35" s="5"/>
      <c r="J35" s="85" t="s">
        <v>173</v>
      </c>
      <c r="K35" s="86"/>
      <c r="L35" s="87"/>
      <c r="M35" s="25"/>
      <c r="O35" s="5" t="s">
        <v>184</v>
      </c>
      <c r="P35" s="5">
        <v>2700</v>
      </c>
      <c r="Q35" s="5">
        <f>Q34+P35</f>
        <v>5100</v>
      </c>
      <c r="R35" s="5"/>
      <c r="S35" s="5"/>
      <c r="T35" s="5"/>
      <c r="U35" s="5"/>
      <c r="V35" s="5"/>
      <c r="W35" s="5"/>
    </row>
    <row r="36" spans="1:23" ht="14.65" thickBot="1" x14ac:dyDescent="0.5">
      <c r="A36" s="5" t="s">
        <v>165</v>
      </c>
      <c r="B36" s="28" t="s">
        <v>180</v>
      </c>
      <c r="C36" s="20">
        <v>0</v>
      </c>
      <c r="D36" s="5">
        <f>IF($C$28&lt;=450,Datos!G115,"")</f>
        <v>149.04</v>
      </c>
      <c r="E36" s="5"/>
      <c r="F36" s="5"/>
      <c r="G36" s="5"/>
      <c r="H36" s="5"/>
      <c r="I36" s="5"/>
      <c r="J36" s="42" t="s">
        <v>174</v>
      </c>
      <c r="K36" s="43"/>
      <c r="L36" s="81">
        <f>L4*12+M4*2</f>
        <v>36624.740000000005</v>
      </c>
      <c r="O36" s="5" t="s">
        <v>185</v>
      </c>
      <c r="P36" s="5">
        <v>4000</v>
      </c>
      <c r="Q36" s="5">
        <f>Q35+P36</f>
        <v>9100</v>
      </c>
      <c r="R36" s="5"/>
      <c r="S36" s="5"/>
      <c r="T36" s="5"/>
      <c r="U36" s="5"/>
      <c r="V36" s="5"/>
      <c r="W36" s="5"/>
    </row>
    <row r="37" spans="1:23" ht="14.75" customHeight="1" thickBot="1" x14ac:dyDescent="0.5">
      <c r="A37" s="5" t="s">
        <v>166</v>
      </c>
      <c r="B37" s="27" t="s">
        <v>179</v>
      </c>
      <c r="C37" s="20">
        <v>0</v>
      </c>
      <c r="D37" s="5">
        <f>IF($C$28&lt;=1000050,Datos!G116,"")</f>
        <v>165.6</v>
      </c>
      <c r="E37" s="5"/>
      <c r="F37" s="5"/>
      <c r="G37" s="5"/>
      <c r="H37" s="5"/>
      <c r="I37" s="5"/>
      <c r="J37" s="9" t="s">
        <v>265</v>
      </c>
      <c r="K37" s="10"/>
      <c r="L37" s="11">
        <f>IF(AND(C48="Sí",L36&lt;33007.2),TRUNC(L36*0.02),0)</f>
        <v>0</v>
      </c>
      <c r="M37" s="24"/>
      <c r="N37" s="24"/>
      <c r="O37" s="5" t="s">
        <v>186</v>
      </c>
      <c r="P37" s="5">
        <v>4500</v>
      </c>
      <c r="Q37" s="5"/>
      <c r="R37" s="5"/>
      <c r="S37" s="5"/>
      <c r="T37" s="5"/>
      <c r="U37" s="5"/>
      <c r="V37" s="5"/>
      <c r="W37" s="5"/>
    </row>
    <row r="38" spans="1:23" ht="14.75" customHeight="1" thickBot="1" x14ac:dyDescent="0.5">
      <c r="A38" s="5" t="s">
        <v>167</v>
      </c>
      <c r="B38" s="29" t="s">
        <v>202</v>
      </c>
      <c r="C38" s="20" t="s">
        <v>144</v>
      </c>
      <c r="D38" s="5" t="str">
        <f>IF(B70=A69,"Sí","No")</f>
        <v>Sí</v>
      </c>
      <c r="E38" s="5"/>
      <c r="F38" s="5"/>
      <c r="G38" s="5"/>
      <c r="H38" s="5"/>
      <c r="I38" s="5"/>
      <c r="J38" s="9" t="s">
        <v>271</v>
      </c>
      <c r="K38" s="10"/>
      <c r="L38" s="11">
        <f>IF(L36-L39&lt;14047.5,6498,IF(L36-L39&lt;19747.5,6498-(1.14*(L36-L39-14047.5)),0))</f>
        <v>0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4.75" customHeight="1" thickBot="1" x14ac:dyDescent="0.5">
      <c r="A39" s="5" t="s">
        <v>188</v>
      </c>
      <c r="B39" s="27" t="s">
        <v>187</v>
      </c>
      <c r="C39" s="20" t="s">
        <v>188</v>
      </c>
      <c r="D39" s="5"/>
      <c r="E39" s="5"/>
      <c r="F39" s="5"/>
      <c r="G39" s="5"/>
      <c r="H39" s="5"/>
      <c r="I39" s="5"/>
      <c r="J39" s="42" t="s">
        <v>242</v>
      </c>
      <c r="K39" s="43"/>
      <c r="L39" s="81">
        <f>SUM(L27:L30)*14+SUM(M27:M30)*2</f>
        <v>0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4.75" customHeight="1" thickBot="1" x14ac:dyDescent="0.5">
      <c r="A40" s="5" t="s">
        <v>190</v>
      </c>
      <c r="B40" s="29" t="s">
        <v>195</v>
      </c>
      <c r="C40" s="20" t="s">
        <v>144</v>
      </c>
      <c r="D40" s="5"/>
      <c r="E40" s="5"/>
      <c r="F40" s="5"/>
      <c r="G40" s="5"/>
      <c r="H40" s="5"/>
      <c r="I40" s="5"/>
      <c r="J40" s="42" t="s">
        <v>247</v>
      </c>
      <c r="K40" s="43"/>
      <c r="L40" s="81">
        <f>C34+2000+M41</f>
        <v>2000</v>
      </c>
      <c r="M40" s="5"/>
      <c r="N40" s="5"/>
      <c r="O40" s="24"/>
      <c r="P40" s="5"/>
      <c r="Q40" s="5"/>
      <c r="R40" s="5"/>
      <c r="S40" s="5"/>
      <c r="T40" s="5"/>
      <c r="U40" s="5"/>
      <c r="V40" s="5"/>
      <c r="W40" s="5"/>
    </row>
    <row r="41" spans="1:23" ht="14.75" customHeight="1" thickBot="1" x14ac:dyDescent="0.5">
      <c r="A41" s="5" t="s">
        <v>189</v>
      </c>
      <c r="B41" s="27" t="s">
        <v>198</v>
      </c>
      <c r="C41" s="20">
        <v>0</v>
      </c>
      <c r="D41" s="5"/>
      <c r="E41" s="5"/>
      <c r="F41" s="5"/>
      <c r="G41" s="5"/>
      <c r="H41" s="5"/>
      <c r="I41" s="5"/>
      <c r="J41" s="42" t="s">
        <v>176</v>
      </c>
      <c r="K41" s="43"/>
      <c r="L41" s="81">
        <f>IF(C33="Sí",1150+5550,5550)</f>
        <v>5550</v>
      </c>
      <c r="M41" s="5">
        <f>IF(AND(C39=A42,C40="No"),3500,IF(OR(C39=A41,C39=A42),7750,0))</f>
        <v>0</v>
      </c>
      <c r="N41" s="5"/>
      <c r="O41" s="24"/>
      <c r="P41" s="5"/>
      <c r="Q41" s="5"/>
      <c r="R41" s="5"/>
      <c r="S41" s="5"/>
      <c r="T41" s="5"/>
      <c r="U41" s="5"/>
      <c r="V41" s="5"/>
      <c r="W41" s="5"/>
    </row>
    <row r="42" spans="1:23" ht="14.75" customHeight="1" x14ac:dyDescent="0.45">
      <c r="A42" s="5" t="s">
        <v>191</v>
      </c>
      <c r="B42" s="168" t="s">
        <v>213</v>
      </c>
      <c r="C42" s="170">
        <v>0</v>
      </c>
      <c r="D42" s="5"/>
      <c r="E42" s="5"/>
      <c r="F42" s="5"/>
      <c r="G42" s="5"/>
      <c r="H42" s="5"/>
      <c r="I42" s="5"/>
      <c r="J42" s="42" t="s">
        <v>178</v>
      </c>
      <c r="K42" s="43"/>
      <c r="L42" s="81">
        <f>SUM(C71:C74)</f>
        <v>0</v>
      </c>
      <c r="M42" s="5"/>
      <c r="N42" s="5"/>
      <c r="O42" s="24"/>
      <c r="P42" s="5"/>
      <c r="Q42" s="5"/>
      <c r="R42" s="5"/>
      <c r="S42" s="5"/>
      <c r="T42" s="5"/>
      <c r="U42" s="5"/>
      <c r="V42" s="5"/>
      <c r="W42" s="5"/>
    </row>
    <row r="43" spans="1:23" ht="14.75" customHeight="1" x14ac:dyDescent="0.45">
      <c r="A43" s="5"/>
      <c r="B43" s="168"/>
      <c r="C43" s="171"/>
      <c r="D43" s="5"/>
      <c r="E43" s="5"/>
      <c r="F43" s="5"/>
      <c r="G43" s="5"/>
      <c r="H43" s="5"/>
      <c r="I43" s="5"/>
      <c r="J43" s="42" t="s">
        <v>181</v>
      </c>
      <c r="K43" s="43"/>
      <c r="L43" s="81">
        <f>IF(C38="no",M49/2+1400*C37,M49+2800*C37)</f>
        <v>0</v>
      </c>
      <c r="M43" s="5"/>
      <c r="N43" s="5"/>
      <c r="O43" s="24"/>
      <c r="P43" s="5"/>
      <c r="Q43" s="5"/>
      <c r="R43" s="5"/>
      <c r="S43" s="5"/>
      <c r="T43" s="5"/>
      <c r="U43" s="5"/>
      <c r="V43" s="5"/>
      <c r="W43" s="5"/>
    </row>
    <row r="44" spans="1:23" ht="14.75" customHeight="1" thickBot="1" x14ac:dyDescent="0.5">
      <c r="A44" s="5"/>
      <c r="B44" s="169"/>
      <c r="C44" s="172"/>
      <c r="D44" s="5"/>
      <c r="E44" s="5"/>
      <c r="F44" s="5"/>
      <c r="G44" s="5"/>
      <c r="H44" s="5"/>
      <c r="I44" s="5"/>
      <c r="J44" s="42" t="s">
        <v>192</v>
      </c>
      <c r="K44" s="43"/>
      <c r="L44" s="81">
        <f>IF(C39=A41,9000,IF(C39=A42,3000,0))</f>
        <v>0</v>
      </c>
      <c r="M44" s="5"/>
      <c r="N44" s="5"/>
      <c r="O44" s="24"/>
      <c r="P44" s="5"/>
      <c r="Q44" s="5"/>
      <c r="R44" s="5"/>
      <c r="S44" s="5"/>
      <c r="T44" s="5"/>
      <c r="U44" s="5"/>
      <c r="V44" s="5"/>
      <c r="W44" s="5"/>
    </row>
    <row r="45" spans="1:23" ht="14.75" customHeight="1" x14ac:dyDescent="0.45">
      <c r="A45" s="5"/>
      <c r="B45" s="173" t="s">
        <v>213</v>
      </c>
      <c r="C45" s="170">
        <v>0</v>
      </c>
      <c r="D45" s="5"/>
      <c r="E45" s="5"/>
      <c r="F45" s="5"/>
      <c r="G45" s="5"/>
      <c r="H45" s="5"/>
      <c r="I45" s="5"/>
      <c r="J45" s="42" t="s">
        <v>193</v>
      </c>
      <c r="K45" s="43"/>
      <c r="L45" s="81">
        <f>SUM(C75:C78)</f>
        <v>0</v>
      </c>
      <c r="M45" s="5"/>
      <c r="N45" s="5"/>
      <c r="O45" s="24"/>
      <c r="P45" s="5"/>
      <c r="Q45" s="5"/>
      <c r="R45" s="5"/>
      <c r="S45" s="5"/>
      <c r="T45" s="5"/>
      <c r="U45" s="5"/>
      <c r="V45" s="5"/>
      <c r="W45" s="5"/>
    </row>
    <row r="46" spans="1:23" ht="14.75" customHeight="1" x14ac:dyDescent="0.45">
      <c r="A46" s="5"/>
      <c r="B46" s="168"/>
      <c r="C46" s="171"/>
      <c r="D46" s="5"/>
      <c r="E46" s="5"/>
      <c r="F46" s="5"/>
      <c r="G46" s="5"/>
      <c r="H46" s="5"/>
      <c r="I46" s="5"/>
      <c r="J46" s="42" t="s">
        <v>194</v>
      </c>
      <c r="K46" s="43"/>
      <c r="L46" s="81">
        <f>IF(C38="Sí",M51,M51/2)</f>
        <v>0</v>
      </c>
      <c r="M46" s="5"/>
      <c r="N46" s="5"/>
      <c r="O46" s="24"/>
      <c r="P46" s="5"/>
      <c r="Q46" s="5"/>
      <c r="R46" s="5"/>
      <c r="S46" s="5"/>
      <c r="T46" s="5"/>
      <c r="U46" s="5"/>
      <c r="V46" s="5"/>
      <c r="W46" s="5"/>
    </row>
    <row r="47" spans="1:23" ht="14.75" customHeight="1" thickBot="1" x14ac:dyDescent="0.5">
      <c r="A47" s="5"/>
      <c r="B47" s="169"/>
      <c r="C47" s="172"/>
      <c r="D47" s="5"/>
      <c r="E47" s="5"/>
      <c r="F47" s="5"/>
      <c r="G47" s="5"/>
      <c r="H47" s="5"/>
      <c r="I47" s="5"/>
      <c r="J47" s="42" t="s">
        <v>212</v>
      </c>
      <c r="K47" s="43"/>
      <c r="L47" s="81">
        <f>IF(OR(C40="Sí",C39=A41),3000,0)</f>
        <v>0</v>
      </c>
      <c r="M47" s="5"/>
      <c r="N47" s="5"/>
      <c r="O47" s="24"/>
      <c r="P47" s="5"/>
      <c r="Q47" s="5"/>
      <c r="R47" s="5"/>
      <c r="S47" s="5"/>
      <c r="T47" s="5"/>
      <c r="U47" s="5"/>
      <c r="V47" s="5"/>
      <c r="W47" s="5"/>
    </row>
    <row r="48" spans="1:23" ht="14.75" customHeight="1" thickBot="1" x14ac:dyDescent="0.5">
      <c r="A48" s="24"/>
      <c r="B48" s="27" t="s">
        <v>273</v>
      </c>
      <c r="C48" s="20" t="s">
        <v>144</v>
      </c>
      <c r="D48" s="5"/>
      <c r="E48" s="5"/>
      <c r="F48" s="5"/>
      <c r="G48" s="5"/>
      <c r="H48" s="5"/>
      <c r="I48" s="5"/>
      <c r="J48" s="9" t="s">
        <v>214</v>
      </c>
      <c r="K48" s="10"/>
      <c r="L48" s="11">
        <f>SUM(L41:L47)</f>
        <v>5550</v>
      </c>
      <c r="M48" s="5"/>
      <c r="N48" s="5"/>
      <c r="O48" s="24"/>
      <c r="P48" s="5"/>
      <c r="Q48" s="5"/>
      <c r="R48" s="5"/>
      <c r="S48" s="5"/>
      <c r="T48" s="5"/>
      <c r="U48" s="5"/>
      <c r="V48" s="5"/>
      <c r="W48" s="5"/>
    </row>
    <row r="49" spans="1:23" ht="14.75" customHeight="1" thickBot="1" x14ac:dyDescent="0.5">
      <c r="A49" s="24"/>
      <c r="B49" s="27" t="s">
        <v>266</v>
      </c>
      <c r="C49" s="149"/>
      <c r="D49" s="5"/>
      <c r="E49" s="5"/>
      <c r="F49" s="5"/>
      <c r="G49" s="5"/>
      <c r="H49" s="5"/>
      <c r="I49" s="5"/>
      <c r="J49" s="9" t="s">
        <v>215</v>
      </c>
      <c r="K49" s="10"/>
      <c r="L49" s="11">
        <f>MAX(0,L36-L39-L40-L38)</f>
        <v>34624.740000000005</v>
      </c>
      <c r="M49" s="5">
        <f>IF(C36=1,Q34,IF(C36=2,Q35,IF(C36=3,Q36,IF(C36&lt;1,0,Q36+4500*(C36-3)))))</f>
        <v>0</v>
      </c>
      <c r="N49" s="5"/>
      <c r="O49" s="24"/>
      <c r="P49" s="5"/>
      <c r="Q49" s="5"/>
      <c r="R49" s="5"/>
      <c r="S49" s="5"/>
      <c r="T49" s="5"/>
      <c r="U49" s="5"/>
      <c r="V49" s="5"/>
      <c r="W49" s="5"/>
    </row>
    <row r="50" spans="1:23" ht="14.75" customHeight="1" thickBot="1" x14ac:dyDescent="0.5">
      <c r="A50" s="24"/>
      <c r="B50" s="30" t="s">
        <v>199</v>
      </c>
      <c r="C50" s="141"/>
      <c r="D50" s="5"/>
      <c r="E50" s="5"/>
      <c r="F50" s="5"/>
      <c r="G50" s="5"/>
      <c r="H50" s="5"/>
      <c r="I50" s="5"/>
      <c r="J50" s="9" t="s">
        <v>216</v>
      </c>
      <c r="K50" s="10"/>
      <c r="L50" s="11">
        <f>IF(L48&gt;12450,0,MAX(0,MIN(12450,L49)-L48))</f>
        <v>6900</v>
      </c>
      <c r="M50" s="5"/>
      <c r="N50" s="5"/>
      <c r="O50" s="24"/>
      <c r="P50" s="5"/>
      <c r="Q50" s="5"/>
      <c r="R50" s="5"/>
      <c r="S50" s="5"/>
      <c r="T50" s="5"/>
      <c r="U50" s="5"/>
      <c r="V50" s="5"/>
      <c r="W50" s="5"/>
    </row>
    <row r="51" spans="1:23" ht="14.75" customHeight="1" thickBot="1" x14ac:dyDescent="0.5">
      <c r="A51" s="24"/>
      <c r="B51" s="30" t="s">
        <v>200</v>
      </c>
      <c r="C51" s="141" t="s">
        <v>188</v>
      </c>
      <c r="D51" s="5"/>
      <c r="E51" s="5"/>
      <c r="F51" s="5"/>
      <c r="G51" s="5"/>
      <c r="H51" s="5"/>
      <c r="I51" s="5"/>
      <c r="J51" s="9" t="s">
        <v>217</v>
      </c>
      <c r="K51" s="10"/>
      <c r="L51" s="11">
        <f>IF(IF(L48&gt;20200,0,IF(L49&gt;20200,MIN(20200-L48,20200-12450),MIN(L49-L48,L49-12450)))&lt;0,0,IF(L48&gt;20200,0,IF(L49&gt;20200,MIN(20200-L48,20200-12450),MIN(L49-L48,L49-12450))))</f>
        <v>7750</v>
      </c>
      <c r="M51" s="5">
        <f>C41*12000+C42*6000+C45*3000</f>
        <v>0</v>
      </c>
      <c r="N51" s="5"/>
      <c r="O51" s="24"/>
      <c r="P51" s="5"/>
      <c r="Q51" s="5"/>
      <c r="R51" s="5"/>
      <c r="S51" s="5"/>
      <c r="T51" s="5"/>
      <c r="U51" s="5"/>
      <c r="V51" s="5"/>
      <c r="W51" s="5"/>
    </row>
    <row r="52" spans="1:23" ht="14.75" customHeight="1" thickBot="1" x14ac:dyDescent="0.5">
      <c r="A52" s="24"/>
      <c r="B52" s="30" t="s">
        <v>207</v>
      </c>
      <c r="C52" s="20" t="s">
        <v>144</v>
      </c>
      <c r="D52" s="5"/>
      <c r="E52" s="5"/>
      <c r="F52" s="5"/>
      <c r="G52" s="5"/>
      <c r="H52" s="5"/>
      <c r="I52" s="5"/>
      <c r="J52" s="9" t="s">
        <v>218</v>
      </c>
      <c r="K52" s="10"/>
      <c r="L52" s="11">
        <f>IF(IF(L48&gt;35200,0,IF(L49&gt;35200,MIN(35200-L48,35200-20200),MIN(L49-L48,L49-20200)))&lt;0,0,IF(L48&gt;35200,0,IF(L49&gt;35200,MIN(35200-L48,35200-20200),MIN(L49-L48,L49-20200))))</f>
        <v>14424.740000000005</v>
      </c>
      <c r="M52" s="5"/>
      <c r="N52" s="5"/>
      <c r="O52" s="24"/>
      <c r="P52" s="5"/>
      <c r="Q52" s="5"/>
      <c r="R52" s="5"/>
      <c r="S52" s="5"/>
      <c r="T52" s="5"/>
      <c r="U52" s="5"/>
      <c r="V52" s="5"/>
      <c r="W52" s="5"/>
    </row>
    <row r="53" spans="1:23" ht="14.75" customHeight="1" thickBot="1" x14ac:dyDescent="0.5">
      <c r="A53" s="5"/>
      <c r="B53" s="31" t="s">
        <v>201</v>
      </c>
      <c r="C53" s="141"/>
      <c r="D53" s="5"/>
      <c r="E53" s="5"/>
      <c r="F53" s="5"/>
      <c r="G53" s="5"/>
      <c r="H53" s="5"/>
      <c r="I53" s="5"/>
      <c r="J53" s="9" t="s">
        <v>219</v>
      </c>
      <c r="K53" s="10"/>
      <c r="L53" s="11">
        <f>IF(IF(L48&gt;60000,0,IF(L49&gt;60000,MIN(35200-L48,60000-35200),MIN(L49-L48,L49-35200)))&lt;0,0,IF(L48&gt;60000,0,IF(L49&gt;60000,MIN(35200-L48,60000-35200),MIN(L49-L48,L49-35200))))</f>
        <v>0</v>
      </c>
      <c r="M53" s="5"/>
      <c r="N53" s="5"/>
      <c r="O53" s="24"/>
      <c r="P53" s="5"/>
      <c r="Q53" s="5"/>
      <c r="R53" s="5"/>
      <c r="S53" s="5"/>
      <c r="T53" s="5"/>
      <c r="U53" s="5"/>
      <c r="V53" s="5"/>
      <c r="W53" s="5"/>
    </row>
    <row r="54" spans="1:23" ht="14.75" customHeight="1" thickBot="1" x14ac:dyDescent="0.5">
      <c r="A54" s="5"/>
      <c r="B54" s="27" t="s">
        <v>267</v>
      </c>
      <c r="C54" s="149"/>
      <c r="H54" s="5"/>
      <c r="I54" s="5"/>
      <c r="J54" s="9" t="s">
        <v>220</v>
      </c>
      <c r="K54" s="10"/>
      <c r="L54" s="11">
        <f>IF(IF(L48&gt;30000,0,IF(L49&gt;300000,MIN(60000-L48,300000-60000),MIN(L49-L48,L49-60000)))&lt;0,0,IF(L48&gt;30000,0,IF(L49&gt;300000,MIN(60000-L48,300000-60000),MIN(L49-L48,L49-60000))))</f>
        <v>0</v>
      </c>
      <c r="M54" s="5"/>
      <c r="N54" s="5"/>
      <c r="O54" s="24"/>
      <c r="P54" s="5"/>
      <c r="Q54" s="5"/>
      <c r="R54" s="5"/>
      <c r="S54" s="5"/>
      <c r="T54" s="5"/>
      <c r="U54" s="5"/>
      <c r="V54" s="5"/>
      <c r="W54" s="5"/>
    </row>
    <row r="55" spans="1:23" ht="14.75" customHeight="1" thickBot="1" x14ac:dyDescent="0.5">
      <c r="A55" s="5"/>
      <c r="B55" s="30" t="s">
        <v>199</v>
      </c>
      <c r="C55" s="141"/>
      <c r="H55" s="5"/>
      <c r="I55" s="5"/>
      <c r="J55" s="9" t="s">
        <v>221</v>
      </c>
      <c r="K55" s="10"/>
      <c r="L55" s="11">
        <f>ROUND(L50*0.19,2)</f>
        <v>1311</v>
      </c>
      <c r="M55" s="5"/>
      <c r="N55" s="5"/>
      <c r="O55" s="24"/>
      <c r="P55" s="5"/>
      <c r="Q55" s="5"/>
      <c r="R55" s="5"/>
      <c r="S55" s="5"/>
      <c r="T55" s="5"/>
      <c r="U55" s="5"/>
      <c r="V55" s="5"/>
      <c r="W55" s="5"/>
    </row>
    <row r="56" spans="1:23" ht="14.75" customHeight="1" thickBot="1" x14ac:dyDescent="0.5">
      <c r="A56" s="5"/>
      <c r="B56" s="30" t="s">
        <v>200</v>
      </c>
      <c r="C56" s="141" t="s">
        <v>188</v>
      </c>
      <c r="G56" s="5"/>
      <c r="H56" s="5"/>
      <c r="I56" s="5"/>
      <c r="J56" s="9" t="s">
        <v>222</v>
      </c>
      <c r="K56" s="10"/>
      <c r="L56" s="11">
        <f>ROUND(L51*0.24,2)</f>
        <v>1860</v>
      </c>
      <c r="M56" s="5"/>
      <c r="N56" s="5"/>
      <c r="P56" s="5"/>
      <c r="Q56" s="5"/>
      <c r="R56" s="5"/>
      <c r="S56" s="5"/>
      <c r="T56" s="5"/>
      <c r="U56" s="5"/>
      <c r="V56" s="5"/>
      <c r="W56" s="5"/>
    </row>
    <row r="57" spans="1:23" ht="14.75" customHeight="1" thickBot="1" x14ac:dyDescent="0.5">
      <c r="A57" s="5"/>
      <c r="B57" s="30" t="s">
        <v>207</v>
      </c>
      <c r="C57" s="20" t="s">
        <v>143</v>
      </c>
      <c r="G57" s="5"/>
      <c r="H57" s="5"/>
      <c r="I57" s="5"/>
      <c r="J57" s="9" t="s">
        <v>223</v>
      </c>
      <c r="K57" s="10"/>
      <c r="L57" s="11">
        <f>ROUND(L52*0.3,2)</f>
        <v>4327.42</v>
      </c>
      <c r="M57" s="5"/>
      <c r="N57" s="5"/>
      <c r="P57" s="5"/>
      <c r="Q57" s="5"/>
      <c r="R57" s="5"/>
      <c r="S57" s="5"/>
      <c r="T57" s="5"/>
      <c r="U57" s="5"/>
      <c r="V57" s="5"/>
      <c r="W57" s="5"/>
    </row>
    <row r="58" spans="1:23" ht="14.75" customHeight="1" thickBot="1" x14ac:dyDescent="0.5">
      <c r="A58" s="5"/>
      <c r="B58" s="31" t="s">
        <v>201</v>
      </c>
      <c r="C58" s="141"/>
      <c r="G58" s="5"/>
      <c r="H58" s="5"/>
      <c r="I58" s="5"/>
      <c r="J58" s="9" t="s">
        <v>224</v>
      </c>
      <c r="K58" s="10"/>
      <c r="L58" s="11">
        <f>ROUND(L53*0.37,2)</f>
        <v>0</v>
      </c>
      <c r="P58" s="5"/>
      <c r="Q58" s="5"/>
      <c r="R58" s="5"/>
      <c r="S58" s="5"/>
      <c r="T58" s="5"/>
      <c r="U58" s="5"/>
      <c r="V58" s="5"/>
      <c r="W58" s="5"/>
    </row>
    <row r="59" spans="1:23" ht="14.65" thickBot="1" x14ac:dyDescent="0.5">
      <c r="A59" s="5"/>
      <c r="B59" s="27" t="s">
        <v>268</v>
      </c>
      <c r="C59" s="150"/>
      <c r="G59" s="5"/>
      <c r="H59" s="5"/>
      <c r="I59" s="5"/>
      <c r="J59" s="9" t="s">
        <v>225</v>
      </c>
      <c r="K59" s="10"/>
      <c r="L59" s="11">
        <f>ROUND(L54*0.45,2)</f>
        <v>0</v>
      </c>
      <c r="P59" s="5"/>
      <c r="Q59" s="5"/>
      <c r="R59" s="5"/>
      <c r="S59" s="5"/>
      <c r="T59" s="5"/>
      <c r="U59" s="5"/>
      <c r="V59" s="5"/>
      <c r="W59" s="5"/>
    </row>
    <row r="60" spans="1:23" ht="14.65" thickBot="1" x14ac:dyDescent="0.5">
      <c r="A60" s="5"/>
      <c r="B60" s="30" t="s">
        <v>199</v>
      </c>
      <c r="C60" s="141"/>
      <c r="G60" s="5"/>
      <c r="H60" s="5"/>
      <c r="I60" s="5"/>
      <c r="J60" s="9" t="s">
        <v>272</v>
      </c>
      <c r="K60" s="10"/>
      <c r="L60" s="56">
        <f>SUM(L55:L59)</f>
        <v>7498.42</v>
      </c>
      <c r="P60" s="5"/>
      <c r="Q60" s="5"/>
      <c r="R60" s="5"/>
      <c r="S60" s="5"/>
      <c r="T60" s="5"/>
      <c r="U60" s="5"/>
      <c r="V60" s="5"/>
      <c r="W60" s="5"/>
    </row>
    <row r="61" spans="1:23" ht="14.65" thickBot="1" x14ac:dyDescent="0.5">
      <c r="A61" s="5"/>
      <c r="B61" s="30" t="s">
        <v>200</v>
      </c>
      <c r="C61" s="141" t="s">
        <v>188</v>
      </c>
      <c r="G61" s="5"/>
      <c r="H61" s="5"/>
      <c r="I61" s="5"/>
      <c r="J61" s="9" t="s">
        <v>270</v>
      </c>
      <c r="K61" s="10"/>
      <c r="L61" s="56">
        <f>MAX(0,C130-L37)</f>
        <v>7498.4220000000023</v>
      </c>
      <c r="P61" s="5"/>
      <c r="Q61" s="5"/>
      <c r="R61" s="5"/>
      <c r="S61" s="5"/>
      <c r="T61" s="5"/>
      <c r="U61" s="5"/>
      <c r="V61" s="5"/>
      <c r="W61" s="5"/>
    </row>
    <row r="62" spans="1:23" ht="14.65" thickBot="1" x14ac:dyDescent="0.5">
      <c r="A62" s="5"/>
      <c r="B62" s="32" t="s">
        <v>207</v>
      </c>
      <c r="C62" s="20" t="s">
        <v>144</v>
      </c>
      <c r="G62" s="5"/>
      <c r="H62" s="5"/>
      <c r="I62" s="5"/>
      <c r="J62" s="91" t="s">
        <v>226</v>
      </c>
      <c r="K62" s="92"/>
      <c r="L62" s="93">
        <f>IF(M62&lt;0.02,0.02,M62)</f>
        <v>0.20473647048415905</v>
      </c>
      <c r="M62" s="5">
        <f>IF(L61&lt;L60,L61/L36,L60/L36)</f>
        <v>0.20473647048415905</v>
      </c>
    </row>
    <row r="63" spans="1:23" ht="14.65" thickBot="1" x14ac:dyDescent="0.5">
      <c r="A63" s="5"/>
      <c r="B63" s="31" t="s">
        <v>201</v>
      </c>
      <c r="C63" s="141"/>
      <c r="G63" s="5"/>
      <c r="H63" s="5"/>
      <c r="I63" s="5"/>
    </row>
    <row r="64" spans="1:23" ht="14.65" thickBot="1" x14ac:dyDescent="0.5">
      <c r="A64" s="5"/>
      <c r="B64" s="27" t="s">
        <v>269</v>
      </c>
      <c r="C64" s="150"/>
      <c r="G64" s="5"/>
      <c r="H64" s="5"/>
      <c r="I64" s="5"/>
      <c r="J64" s="85" t="s">
        <v>228</v>
      </c>
      <c r="K64" s="88"/>
      <c r="L64" s="89"/>
    </row>
    <row r="65" spans="1:12" ht="14.65" thickBot="1" x14ac:dyDescent="0.5">
      <c r="A65" s="5"/>
      <c r="B65" s="30" t="s">
        <v>199</v>
      </c>
      <c r="C65" s="141"/>
      <c r="G65" s="5"/>
      <c r="H65" s="5"/>
      <c r="I65" s="5"/>
      <c r="J65" s="9" t="s">
        <v>230</v>
      </c>
      <c r="K65" s="7"/>
      <c r="L65" s="82">
        <v>4.7E-2</v>
      </c>
    </row>
    <row r="66" spans="1:12" ht="14.65" thickBot="1" x14ac:dyDescent="0.5">
      <c r="A66" s="5"/>
      <c r="B66" s="30" t="s">
        <v>200</v>
      </c>
      <c r="C66" s="141" t="s">
        <v>188</v>
      </c>
      <c r="G66" s="5"/>
      <c r="H66" s="5"/>
      <c r="I66" s="5"/>
      <c r="J66" s="9" t="s">
        <v>231</v>
      </c>
      <c r="K66" s="7"/>
      <c r="L66" s="82">
        <v>1.1999999999999999E-3</v>
      </c>
    </row>
    <row r="67" spans="1:12" ht="14.65" thickBot="1" x14ac:dyDescent="0.5">
      <c r="A67" s="5"/>
      <c r="B67" s="32" t="s">
        <v>207</v>
      </c>
      <c r="C67" s="20" t="s">
        <v>144</v>
      </c>
      <c r="G67" s="5"/>
      <c r="H67" s="5"/>
      <c r="I67" s="5"/>
      <c r="J67" s="9" t="s">
        <v>236</v>
      </c>
      <c r="K67" s="7"/>
      <c r="L67" s="82">
        <v>0.28299999999999997</v>
      </c>
    </row>
    <row r="68" spans="1:12" ht="14.65" thickBot="1" x14ac:dyDescent="0.5">
      <c r="A68" s="5"/>
      <c r="B68" s="32" t="s">
        <v>201</v>
      </c>
      <c r="C68" s="141"/>
      <c r="G68" s="5"/>
      <c r="H68" s="5"/>
      <c r="I68" s="5"/>
      <c r="J68" s="9" t="s">
        <v>235</v>
      </c>
      <c r="K68" s="7"/>
      <c r="L68" s="46">
        <v>1.0999999999999999E-2</v>
      </c>
    </row>
    <row r="69" spans="1:12" ht="14.65" thickBot="1" x14ac:dyDescent="0.5">
      <c r="A69" s="35" t="s">
        <v>246</v>
      </c>
      <c r="B69" s="28" t="s">
        <v>243</v>
      </c>
      <c r="C69" s="80">
        <f>IF(B70=A69,1,IF(B70=A70,2,IF(B70=A71,3,0)))</f>
        <v>1</v>
      </c>
      <c r="G69" s="5"/>
      <c r="H69" s="5"/>
      <c r="I69" s="5"/>
      <c r="J69" s="91" t="s">
        <v>234</v>
      </c>
      <c r="K69" s="92"/>
      <c r="L69" s="94">
        <f>L65+L66-(L67*L68)</f>
        <v>4.5087000000000002E-2</v>
      </c>
    </row>
    <row r="70" spans="1:12" ht="42" customHeight="1" thickBot="1" x14ac:dyDescent="0.5">
      <c r="A70" s="35" t="s">
        <v>244</v>
      </c>
      <c r="B70" s="156" t="s">
        <v>246</v>
      </c>
      <c r="C70" s="157"/>
      <c r="G70" s="5"/>
      <c r="H70" s="5"/>
      <c r="I70" s="5"/>
    </row>
    <row r="71" spans="1:12" x14ac:dyDescent="0.45">
      <c r="A71" s="35" t="s">
        <v>245</v>
      </c>
      <c r="B71" s="5" t="s">
        <v>203</v>
      </c>
      <c r="C71" s="5">
        <f>IF(C50&gt;=75,ROUND((1150+1400)/C53,2),IF(C50&gt;=65,ROUND(1150/C53,2),0))</f>
        <v>0</v>
      </c>
      <c r="G71" s="5"/>
      <c r="H71" s="5"/>
      <c r="I71" s="5"/>
      <c r="J71" s="85" t="s">
        <v>229</v>
      </c>
      <c r="K71" s="88"/>
      <c r="L71" s="89"/>
    </row>
    <row r="72" spans="1:12" x14ac:dyDescent="0.45">
      <c r="A72" s="5"/>
      <c r="B72" s="5" t="s">
        <v>204</v>
      </c>
      <c r="C72" s="5">
        <f>IF(C55&gt;=75,ROUND((1150+1400)/C58,2),IF(C55&gt;=65,ROUND(1150/C58,2),0))</f>
        <v>0</v>
      </c>
      <c r="D72" s="5"/>
      <c r="E72" s="5"/>
      <c r="F72" s="5"/>
      <c r="G72" s="5"/>
      <c r="H72" s="5"/>
      <c r="I72" s="5"/>
      <c r="J72" s="9" t="s">
        <v>230</v>
      </c>
      <c r="K72" s="7"/>
      <c r="L72" s="82">
        <v>4.7E-2</v>
      </c>
    </row>
    <row r="73" spans="1:12" x14ac:dyDescent="0.45">
      <c r="A73" s="5"/>
      <c r="B73" s="5" t="s">
        <v>205</v>
      </c>
      <c r="C73" s="5">
        <f>IF(C60&gt;=75,ROUND((1150+1400)/C63,2),IF(C60&gt;=65,ROUND(1150/C63,2),0))</f>
        <v>0</v>
      </c>
      <c r="D73" s="5"/>
      <c r="E73" s="5"/>
      <c r="F73" s="5"/>
      <c r="G73" s="5"/>
      <c r="H73" s="5"/>
      <c r="I73" s="5"/>
      <c r="J73" s="9" t="s">
        <v>231</v>
      </c>
      <c r="K73" s="7"/>
      <c r="L73" s="82">
        <v>1.1999999999999999E-3</v>
      </c>
    </row>
    <row r="74" spans="1:12" x14ac:dyDescent="0.45">
      <c r="A74" s="5"/>
      <c r="B74" s="5" t="s">
        <v>206</v>
      </c>
      <c r="C74" s="5">
        <f>IF(C65&gt;=75,ROUND((1150+1400)/C68,2),IF(C65&gt;=65,ROUND(1150/C68,2),0))</f>
        <v>0</v>
      </c>
      <c r="D74" s="5"/>
      <c r="E74" s="5"/>
      <c r="F74" s="5"/>
      <c r="G74" s="5"/>
      <c r="H74" s="5"/>
      <c r="I74" s="5"/>
      <c r="J74" s="9" t="s">
        <v>232</v>
      </c>
      <c r="K74" s="7"/>
      <c r="L74" s="82">
        <v>1.55E-2</v>
      </c>
    </row>
    <row r="75" spans="1:12" x14ac:dyDescent="0.45">
      <c r="A75" s="25"/>
      <c r="B75" s="5" t="s">
        <v>208</v>
      </c>
      <c r="C75" s="5">
        <f>IF(C50&lt;65,0,IF(C51=A41,ROUND(12000/C53,2),IF(AND(C51=A42,C52="No"),ROUND(3000/C53,2),IF(AND(C51=A42,C52="Sí"),ROUND(6000/C53,2),""))))</f>
        <v>0</v>
      </c>
      <c r="D75" s="5"/>
      <c r="E75" s="5"/>
      <c r="F75" s="5"/>
      <c r="G75" s="5"/>
      <c r="H75" s="5"/>
      <c r="I75" s="5"/>
      <c r="J75" s="9" t="s">
        <v>233</v>
      </c>
      <c r="K75" s="7"/>
      <c r="L75" s="82">
        <v>1E-3</v>
      </c>
    </row>
    <row r="76" spans="1:12" ht="14.65" thickBot="1" x14ac:dyDescent="0.5">
      <c r="A76" s="25"/>
      <c r="B76" s="5" t="s">
        <v>209</v>
      </c>
      <c r="C76" s="5">
        <f>IF(C55&lt;65,0,IF(C56=A41,ROUND(12000/C58,2),IF(AND(C56=A42,C57="No"),ROUND(3000/C58,2),IF(AND(C56=A42,C57="Sí"),ROUND(6000/C58,2),""))))</f>
        <v>0</v>
      </c>
      <c r="D76" s="5"/>
      <c r="E76" s="5"/>
      <c r="F76" s="5"/>
      <c r="G76" s="5"/>
      <c r="H76" s="5"/>
      <c r="I76" s="5"/>
      <c r="J76" s="91" t="s">
        <v>234</v>
      </c>
      <c r="K76" s="92"/>
      <c r="L76" s="93">
        <f>SUM(L72:L75)</f>
        <v>6.4700000000000008E-2</v>
      </c>
    </row>
    <row r="77" spans="1:12" x14ac:dyDescent="0.45">
      <c r="A77" s="25"/>
      <c r="B77" s="5" t="s">
        <v>210</v>
      </c>
      <c r="C77" s="5">
        <f>IF(C60&lt;65,0,IF(C61=A41,ROUND(12000/C63,2),IF(AND(C61=A42,C62="No"),ROUND(3000/C63,2),IF(AND(C61=A42,C62="Sí"),ROUND(6000/C63,2),""))))</f>
        <v>0</v>
      </c>
      <c r="D77" s="5"/>
      <c r="E77" s="5"/>
      <c r="F77" s="5"/>
      <c r="G77" s="5"/>
      <c r="H77" s="5"/>
      <c r="I77" s="5"/>
    </row>
    <row r="78" spans="1:12" x14ac:dyDescent="0.45">
      <c r="A78" s="25"/>
      <c r="B78" s="5" t="s">
        <v>211</v>
      </c>
      <c r="C78" s="5">
        <f>IF(C65&lt;65,0,IF(C66=A41,ROUND(12000/C68,2),IF(AND(C66=A42,C67="No"),ROUND(3000/C68,2),IF(AND(C66=A42,C67="Sí"),ROUND(6000/C68,2),""))))</f>
        <v>0</v>
      </c>
      <c r="D78" s="5"/>
      <c r="E78" s="5"/>
      <c r="F78" s="5"/>
      <c r="G78" s="5"/>
      <c r="H78" s="5"/>
      <c r="I78" s="5"/>
    </row>
    <row r="79" spans="1:12" x14ac:dyDescent="0.45">
      <c r="A79" s="25"/>
      <c r="B79" s="5"/>
      <c r="C79" s="5"/>
      <c r="I79" s="5"/>
    </row>
    <row r="80" spans="1:12" x14ac:dyDescent="0.45">
      <c r="A80" s="25"/>
      <c r="B80" s="5" t="s">
        <v>248</v>
      </c>
      <c r="C80" s="5"/>
      <c r="I80" s="5"/>
    </row>
    <row r="81" spans="1:9" x14ac:dyDescent="0.45">
      <c r="A81" s="25"/>
      <c r="B81" s="5" t="s">
        <v>249</v>
      </c>
      <c r="C81" s="39">
        <f>L49-C35</f>
        <v>34624.740000000005</v>
      </c>
      <c r="I81" s="5"/>
    </row>
    <row r="82" spans="1:9" x14ac:dyDescent="0.45">
      <c r="A82" s="25"/>
      <c r="B82" s="5" t="s">
        <v>250</v>
      </c>
      <c r="C82" s="39">
        <f>C35</f>
        <v>0</v>
      </c>
      <c r="I82" s="5"/>
    </row>
    <row r="83" spans="1:9" x14ac:dyDescent="0.45">
      <c r="A83" s="25"/>
      <c r="B83" s="5" t="s">
        <v>251</v>
      </c>
      <c r="C83" s="40">
        <f>MAX(B85:B90)</f>
        <v>8552.9220000000023</v>
      </c>
      <c r="I83" s="5"/>
    </row>
    <row r="84" spans="1:9" x14ac:dyDescent="0.45">
      <c r="A84" s="25"/>
      <c r="B84" s="5" t="s">
        <v>253</v>
      </c>
      <c r="C84" s="5"/>
      <c r="I84" s="5"/>
    </row>
    <row r="85" spans="1:9" x14ac:dyDescent="0.45">
      <c r="A85" s="25"/>
      <c r="B85" s="5" t="str">
        <f>IF(C81&lt;12450,0+(C81)*0.19,"")</f>
        <v/>
      </c>
      <c r="C85" s="5"/>
      <c r="I85" s="5"/>
    </row>
    <row r="86" spans="1:9" x14ac:dyDescent="0.45">
      <c r="A86" s="25"/>
      <c r="B86" s="5" t="str">
        <f>IF(AND(C81&gt;=12450,C81&lt;20200),2365.5+(C81-12450)*0.24,"")</f>
        <v/>
      </c>
      <c r="C86" s="5"/>
      <c r="I86" s="5"/>
    </row>
    <row r="87" spans="1:9" x14ac:dyDescent="0.45">
      <c r="A87" s="25"/>
      <c r="B87" s="5">
        <f>IF(AND(C81&gt;=20200,C81&lt;35200),4225.5+(C81-20200)*0.3,"")</f>
        <v>8552.9220000000023</v>
      </c>
      <c r="C87" s="5"/>
      <c r="I87" s="5"/>
    </row>
    <row r="88" spans="1:9" x14ac:dyDescent="0.45">
      <c r="A88" s="25"/>
      <c r="B88" s="5" t="str">
        <f>IF(AND(C81&gt;=35200,C81&lt;60000),8725.5+(C81-35200)*0.37,"")</f>
        <v/>
      </c>
      <c r="C88" s="5"/>
      <c r="I88" s="5"/>
    </row>
    <row r="89" spans="1:9" x14ac:dyDescent="0.45">
      <c r="A89" s="25"/>
      <c r="B89" s="5" t="str">
        <f>IF(AND(C81&gt;=60000,C81&lt;300000),17901.5+(C81-60000)*0.45,"")</f>
        <v/>
      </c>
      <c r="C89" s="5"/>
      <c r="I89" s="5"/>
    </row>
    <row r="90" spans="1:9" x14ac:dyDescent="0.45">
      <c r="A90" s="25"/>
      <c r="B90" s="5" t="str">
        <f>IF(C81&gt;300000,125901.5+(C81-300000)*0.47,"")</f>
        <v/>
      </c>
      <c r="C90" s="5"/>
      <c r="I90" s="5"/>
    </row>
    <row r="91" spans="1:9" x14ac:dyDescent="0.45">
      <c r="A91" s="25"/>
      <c r="B91" s="5" t="s">
        <v>252</v>
      </c>
      <c r="C91" s="40">
        <f>MAX(B92:B97)</f>
        <v>0</v>
      </c>
      <c r="I91" s="5"/>
    </row>
    <row r="92" spans="1:9" x14ac:dyDescent="0.45">
      <c r="A92" s="25"/>
      <c r="B92" s="5">
        <f>IF(C82&lt;12450,0+(C82)*0.19,"")</f>
        <v>0</v>
      </c>
      <c r="C92" s="5"/>
      <c r="I92" s="5"/>
    </row>
    <row r="93" spans="1:9" x14ac:dyDescent="0.45">
      <c r="A93" s="25"/>
      <c r="B93" s="5" t="str">
        <f>IF(AND(C82&gt;=12450,C82&lt;20200),2365.5+(C82-12450)*0.24,"")</f>
        <v/>
      </c>
      <c r="C93" s="5"/>
      <c r="I93" s="5"/>
    </row>
    <row r="94" spans="1:9" x14ac:dyDescent="0.45">
      <c r="A94" s="25"/>
      <c r="B94" s="5" t="str">
        <f>IF(AND(C82&gt;=20200,C82&lt;35200),4225.5+(C82-20200)*0.3,"")</f>
        <v/>
      </c>
      <c r="C94" s="5"/>
      <c r="I94" s="5"/>
    </row>
    <row r="95" spans="1:9" x14ac:dyDescent="0.45">
      <c r="A95" s="25"/>
      <c r="B95" s="5" t="str">
        <f>IF(AND(C82&gt;=35200,C82&lt;60000),8725.5+(C82-35200)*0.37,"")</f>
        <v/>
      </c>
      <c r="C95" s="5"/>
      <c r="I95" s="5"/>
    </row>
    <row r="96" spans="1:9" x14ac:dyDescent="0.45">
      <c r="A96" s="25"/>
      <c r="B96" s="5" t="str">
        <f>IF(AND(C82&gt;=60000,C82&lt;300000),17901.5+(C82-60000)*0.45,"")</f>
        <v/>
      </c>
      <c r="C96" s="5"/>
    </row>
    <row r="97" spans="2:3" x14ac:dyDescent="0.45">
      <c r="B97" s="5" t="str">
        <f>IF(C82&gt;300000,125901.5+(C82-300000)*0.47,"")</f>
        <v/>
      </c>
      <c r="C97" s="5"/>
    </row>
    <row r="98" spans="2:3" x14ac:dyDescent="0.45">
      <c r="B98" s="5" t="s">
        <v>254</v>
      </c>
      <c r="C98" s="39">
        <f>IF(AND(C35&gt;0,L49-C35&gt;0),C91+C83,C108)</f>
        <v>8552.9220000000023</v>
      </c>
    </row>
    <row r="99" spans="2:3" x14ac:dyDescent="0.45">
      <c r="B99" s="5" t="s">
        <v>255</v>
      </c>
      <c r="C99" s="40">
        <f>IF(AND(C35&gt;0,L49-C35&gt;0),L48+1980,L48)</f>
        <v>5550</v>
      </c>
    </row>
    <row r="100" spans="2:3" x14ac:dyDescent="0.45">
      <c r="B100" s="5" t="s">
        <v>256</v>
      </c>
      <c r="C100" s="40">
        <f>MAX(B101:B106)</f>
        <v>1054.5</v>
      </c>
    </row>
    <row r="101" spans="2:3" x14ac:dyDescent="0.45">
      <c r="B101" s="5">
        <f>IF(C99&lt;12450,0+(C99)*0.19,"")</f>
        <v>1054.5</v>
      </c>
      <c r="C101" s="5"/>
    </row>
    <row r="102" spans="2:3" x14ac:dyDescent="0.45">
      <c r="B102" s="5" t="str">
        <f>IF(AND(C99&gt;=12450,C99&lt;20200),2365.5+(C99-12450)*0.24,"")</f>
        <v/>
      </c>
      <c r="C102" s="5"/>
    </row>
    <row r="103" spans="2:3" x14ac:dyDescent="0.45">
      <c r="B103" s="5" t="str">
        <f>IF(AND(C99&gt;=20200,C99&lt;35200),4225.5+(C99-20200)*0.3,"")</f>
        <v/>
      </c>
      <c r="C103" s="5"/>
    </row>
    <row r="104" spans="2:3" x14ac:dyDescent="0.45">
      <c r="B104" s="5" t="str">
        <f>IF(AND(C99&gt;=35200,C99&lt;60000),8725.5+(C99-35200)*0.37,"")</f>
        <v/>
      </c>
      <c r="C104" s="5"/>
    </row>
    <row r="105" spans="2:3" x14ac:dyDescent="0.45">
      <c r="B105" s="5" t="str">
        <f>IF(AND(C99&gt;=60000,C99&lt;300000),17901.5+(C99-60000)*0.45,"")</f>
        <v/>
      </c>
      <c r="C105" s="5"/>
    </row>
    <row r="106" spans="2:3" x14ac:dyDescent="0.45">
      <c r="B106" s="5" t="str">
        <f>IF(C99&gt;300000,125901.5+(C99-300000)*0.47,"")</f>
        <v/>
      </c>
      <c r="C106" s="5"/>
    </row>
    <row r="107" spans="2:3" x14ac:dyDescent="0.45">
      <c r="B107" s="5" t="s">
        <v>257</v>
      </c>
      <c r="C107" s="41">
        <f>IF(C98&gt;C100,C98-C100,L60)</f>
        <v>7498.4220000000023</v>
      </c>
    </row>
    <row r="108" spans="2:3" x14ac:dyDescent="0.45">
      <c r="B108" s="5" t="s">
        <v>258</v>
      </c>
      <c r="C108" s="40">
        <f>MAX(B109:B115)</f>
        <v>8552.9220000000023</v>
      </c>
    </row>
    <row r="109" spans="2:3" x14ac:dyDescent="0.45">
      <c r="B109" s="5" t="str">
        <f>IF(L49&lt;12450,0+(L49)*0.19,"")</f>
        <v/>
      </c>
      <c r="C109" s="5"/>
    </row>
    <row r="110" spans="2:3" x14ac:dyDescent="0.45">
      <c r="B110" s="5" t="str">
        <f>IF(AND(L49&gt;=12450,L49&lt;20200),2365.5+(L49-12450)*0.24,"")</f>
        <v/>
      </c>
      <c r="C110" s="5"/>
    </row>
    <row r="111" spans="2:3" x14ac:dyDescent="0.45">
      <c r="B111" s="5">
        <f>IF(AND(L49&gt;=20200,L49&lt;35200),4225.5+(L49-20200)*0.3,"")</f>
        <v>8552.9220000000023</v>
      </c>
      <c r="C111" s="5"/>
    </row>
    <row r="112" spans="2:3" x14ac:dyDescent="0.45">
      <c r="B112" s="5" t="str">
        <f>IF(AND(L49&gt;=35200,L49&lt;60000),8725.5+(L49-35200)*0.37,"")</f>
        <v/>
      </c>
      <c r="C112" s="5"/>
    </row>
    <row r="113" spans="2:3" x14ac:dyDescent="0.45">
      <c r="B113" s="5" t="str">
        <f>IF(AND(L49&gt;=60000,L49&lt;300000),17901.5+(L49-60000)*0.45,"")</f>
        <v/>
      </c>
      <c r="C113" s="5"/>
    </row>
    <row r="114" spans="2:3" x14ac:dyDescent="0.45">
      <c r="B114" s="5" t="str">
        <f>IF(L49&gt;300000,125901.5+(L49-300000)*0.47,"")</f>
        <v/>
      </c>
      <c r="C114" s="5"/>
    </row>
    <row r="115" spans="2:3" x14ac:dyDescent="0.45">
      <c r="B115" s="5"/>
      <c r="C115" s="5"/>
    </row>
    <row r="116" spans="2:3" x14ac:dyDescent="0.45">
      <c r="B116" s="5"/>
      <c r="C116" s="5"/>
    </row>
    <row r="117" spans="2:3" x14ac:dyDescent="0.45">
      <c r="B117" s="5" t="s">
        <v>259</v>
      </c>
      <c r="C117" s="5"/>
    </row>
    <row r="118" spans="2:3" x14ac:dyDescent="0.45">
      <c r="B118" s="5" t="s">
        <v>261</v>
      </c>
      <c r="C118" s="5"/>
    </row>
    <row r="119" spans="2:3" x14ac:dyDescent="0.45">
      <c r="B119" s="5" t="s">
        <v>260</v>
      </c>
      <c r="C119" s="5"/>
    </row>
    <row r="120" spans="2:3" x14ac:dyDescent="0.45">
      <c r="B120" s="5">
        <f>IF(AND(L36&lt;=35200,C69=1,C36=1),(L36-(17270+C119+C120))*0.43,0)</f>
        <v>0</v>
      </c>
      <c r="C120" s="5"/>
    </row>
    <row r="121" spans="2:3" x14ac:dyDescent="0.45">
      <c r="B121" s="5">
        <f>IF(AND(L36&lt;=35200,C69=1,C36&gt;1),(L36-(18617+C119+C120))*0.43,0)</f>
        <v>0</v>
      </c>
      <c r="C121" s="5"/>
    </row>
    <row r="122" spans="2:3" x14ac:dyDescent="0.45">
      <c r="B122" s="5">
        <f>IF(AND(L36&lt;=35200,C69=2,C36=0),(L36-(16696+C119+C120))*0.43,0)</f>
        <v>0</v>
      </c>
      <c r="C122" s="5"/>
    </row>
    <row r="123" spans="2:3" x14ac:dyDescent="0.45">
      <c r="B123" s="5">
        <f>IF(AND(L36&lt;=35200,C69=2,C36=1),(L36-(17894+C119+C120))*0.43,0)</f>
        <v>0</v>
      </c>
      <c r="C123" s="5"/>
    </row>
    <row r="124" spans="2:3" x14ac:dyDescent="0.45">
      <c r="B124" s="5">
        <f>IF(AND(L36&lt;=35200,C69=2,C36&gt;1),(L36-(19241+C119+C120))*0.43,0)</f>
        <v>0</v>
      </c>
      <c r="C124" s="5"/>
    </row>
    <row r="125" spans="2:3" x14ac:dyDescent="0.45">
      <c r="B125" s="5">
        <f>IF(AND(L36&lt;=35200,C69=3,C36=0),(L36-(15000+C119+C120))*0.43,0)</f>
        <v>0</v>
      </c>
      <c r="C125" s="5"/>
    </row>
    <row r="126" spans="2:3" x14ac:dyDescent="0.45">
      <c r="B126" s="5">
        <f>IF(AND(L36&lt;=35200,C69=3,C36=1),(L36-(15599+C119+C120))*0.43,0)</f>
        <v>0</v>
      </c>
      <c r="C126" s="5"/>
    </row>
    <row r="127" spans="2:3" x14ac:dyDescent="0.45">
      <c r="B127" s="5">
        <f>IF(AND(L36&lt;=35200,C69=3,C36&gt;1),(L36-(16272+C119+C120))*0.43,0)</f>
        <v>0</v>
      </c>
      <c r="C127" s="5"/>
    </row>
    <row r="128" spans="2:3" x14ac:dyDescent="0.45">
      <c r="B128" s="5" t="s">
        <v>263</v>
      </c>
      <c r="C128" s="5" t="str">
        <f>IF(MAX(B120:B127)&gt;0,"Sí","No")</f>
        <v>No</v>
      </c>
    </row>
    <row r="129" spans="2:3" x14ac:dyDescent="0.45">
      <c r="B129" s="5" t="s">
        <v>264</v>
      </c>
      <c r="C129" s="5">
        <f>MAX(B120:B127)</f>
        <v>0</v>
      </c>
    </row>
    <row r="130" spans="2:3" x14ac:dyDescent="0.45">
      <c r="B130" s="5" t="s">
        <v>262</v>
      </c>
      <c r="C130" s="41">
        <f>IF(C128="No",C107,IF(C107&gt;C129,C129,C107))</f>
        <v>7498.4220000000023</v>
      </c>
    </row>
    <row r="131" spans="2:3" x14ac:dyDescent="0.45">
      <c r="B131" s="5"/>
      <c r="C131" s="5"/>
    </row>
    <row r="132" spans="2:3" x14ac:dyDescent="0.45">
      <c r="B132" s="5"/>
      <c r="C132" s="5"/>
    </row>
    <row r="133" spans="2:3" x14ac:dyDescent="0.45">
      <c r="B133" s="5"/>
      <c r="C133" s="5"/>
    </row>
    <row r="134" spans="2:3" x14ac:dyDescent="0.45">
      <c r="B134" s="5"/>
      <c r="C134" s="5"/>
    </row>
    <row r="135" spans="2:3" x14ac:dyDescent="0.45">
      <c r="B135" s="5"/>
      <c r="C135" s="5"/>
    </row>
    <row r="136" spans="2:3" x14ac:dyDescent="0.45">
      <c r="B136" s="5"/>
      <c r="C136" s="5"/>
    </row>
    <row r="137" spans="2:3" x14ac:dyDescent="0.45">
      <c r="B137" s="5"/>
      <c r="C137" s="5"/>
    </row>
    <row r="138" spans="2:3" x14ac:dyDescent="0.45">
      <c r="B138" s="5"/>
      <c r="C138" s="5"/>
    </row>
  </sheetData>
  <sheetProtection algorithmName="SHA-512" hashValue="RFQq9k1pwLdVPJGnK3mOim/nhLRHWxvm8CPSMe9RzUWYW5Iu/EWD8X4ToY0qzKHnMIe3QSPnSNIpBMRa2kxrwA==" saltValue="IT8iJwLNJkPS7kAC3h8jsQ==" spinCount="100000" sheet="1" objects="1" scenarios="1"/>
  <mergeCells count="12">
    <mergeCell ref="M4:M5"/>
    <mergeCell ref="B29:C29"/>
    <mergeCell ref="B70:C70"/>
    <mergeCell ref="B3:C3"/>
    <mergeCell ref="J3:K3"/>
    <mergeCell ref="J4:K5"/>
    <mergeCell ref="L4:L5"/>
    <mergeCell ref="B32:C32"/>
    <mergeCell ref="B42:B44"/>
    <mergeCell ref="C42:C44"/>
    <mergeCell ref="B45:B47"/>
    <mergeCell ref="C45:C47"/>
  </mergeCells>
  <dataValidations count="18">
    <dataValidation type="list" allowBlank="1" showInputMessage="1" showErrorMessage="1" sqref="B70">
      <formula1>$A$69:$A$71</formula1>
    </dataValidation>
    <dataValidation type="list" allowBlank="1" showInputMessage="1" showErrorMessage="1" sqref="C39 C66 C56 C51 C61">
      <formula1>$A$39:$A$43</formula1>
    </dataValidation>
    <dataValidation type="whole" allowBlank="1" showInputMessage="1" showErrorMessage="1" sqref="C45">
      <formula1>0</formula1>
      <formula2>C41</formula2>
    </dataValidation>
    <dataValidation type="whole" allowBlank="1" showInputMessage="1" showErrorMessage="1" sqref="C53 C58 C63 C68">
      <formula1>0</formula1>
      <formula2>20</formula2>
    </dataValidation>
    <dataValidation type="whole" allowBlank="1" showInputMessage="1" showErrorMessage="1" sqref="C50 C55 C60 C65">
      <formula1>18</formula1>
      <formula2>130</formula2>
    </dataValidation>
    <dataValidation type="whole" allowBlank="1" showInputMessage="1" showErrorMessage="1" sqref="C37 C41:C42">
      <formula1>0</formula1>
      <formula2>C36</formula2>
    </dataValidation>
    <dataValidation type="whole" allowBlank="1" showInputMessage="1" showErrorMessage="1" sqref="C36">
      <formula1>0</formula1>
      <formula2>100</formula2>
    </dataValidation>
    <dataValidation type="list" allowBlank="1" showInputMessage="1" showErrorMessage="1" sqref="C30">
      <formula1>$A$36:$A$38</formula1>
    </dataValidation>
    <dataValidation type="whole" allowBlank="1" showInputMessage="1" showErrorMessage="1" sqref="C31">
      <formula1>1980</formula1>
      <formula2>2023</formula2>
    </dataValidation>
    <dataValidation type="whole" allowBlank="1" showInputMessage="1" showErrorMessage="1" sqref="C28">
      <formula1>0</formula1>
      <formula2>10000</formula2>
    </dataValidation>
    <dataValidation type="whole" allowBlank="1" showInputMessage="1" showErrorMessage="1" sqref="C26">
      <formula1>0</formula1>
      <formula2>30</formula2>
    </dataValidation>
    <dataValidation type="list" allowBlank="1" showInputMessage="1" showErrorMessage="1" sqref="C27 C48 C67 C62 C57 C52 C40 C38 C33 C15:C25">
      <formula1>$H$13:$H$14</formula1>
    </dataValidation>
    <dataValidation type="list" allowBlank="1" showInputMessage="1" showErrorMessage="1" sqref="C14">
      <formula1>$F$13:$F$18</formula1>
    </dataValidation>
    <dataValidation type="list" allowBlank="1" showInputMessage="1" showErrorMessage="1" sqref="C13">
      <formula1>$D$13:$D$20</formula1>
    </dataValidation>
    <dataValidation type="decimal" allowBlank="1" showInputMessage="1" showErrorMessage="1" sqref="C4:C5">
      <formula1>0</formula1>
      <formula2>100</formula2>
    </dataValidation>
    <dataValidation type="whole" allowBlank="1" showInputMessage="1" showErrorMessage="1" sqref="C12">
      <formula1>0</formula1>
      <formula2>5</formula2>
    </dataValidation>
    <dataValidation type="whole" allowBlank="1" showInputMessage="1" showErrorMessage="1" sqref="C6:C10">
      <formula1>0</formula1>
      <formula2>14</formula2>
    </dataValidation>
    <dataValidation type="list" allowBlank="1" showInputMessage="1" showErrorMessage="1" sqref="C11">
      <formula1>$D$5:$D$6</formula1>
    </dataValidation>
  </dataValidations>
  <hyperlinks>
    <hyperlink ref="B2" location="Inicio!A1" display="Ir a inicio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8"/>
  <sheetViews>
    <sheetView showRowColHeaders="0" zoomScaleNormal="100" workbookViewId="0">
      <selection activeCell="B2" sqref="B2"/>
    </sheetView>
  </sheetViews>
  <sheetFormatPr baseColWidth="10" defaultRowHeight="14.25" x14ac:dyDescent="0.45"/>
  <cols>
    <col min="1" max="1" width="0.53125" style="4" customWidth="1"/>
    <col min="2" max="2" width="55.86328125" style="4" customWidth="1"/>
    <col min="3" max="3" width="26.19921875" style="4" customWidth="1"/>
    <col min="4" max="4" width="2.265625" style="24" customWidth="1"/>
    <col min="5" max="5" width="1" style="24" customWidth="1"/>
    <col min="6" max="6" width="0.796875" style="24" hidden="1" customWidth="1"/>
    <col min="7" max="7" width="6.640625E-2" style="24" hidden="1" customWidth="1"/>
    <col min="8" max="8" width="6.19921875" style="24" hidden="1" customWidth="1"/>
    <col min="9" max="9" width="1.1328125" style="4" customWidth="1"/>
    <col min="10" max="10" width="10.6640625" style="4"/>
    <col min="11" max="11" width="41.33203125" style="4" customWidth="1"/>
    <col min="12" max="12" width="17.73046875" style="4" customWidth="1"/>
    <col min="13" max="13" width="17.9296875" style="4" customWidth="1"/>
    <col min="14" max="14" width="5.3984375" style="4" customWidth="1"/>
    <col min="15" max="15" width="4.73046875" style="4" customWidth="1"/>
    <col min="16" max="16384" width="10.6640625" style="4"/>
  </cols>
  <sheetData>
    <row r="1" spans="1:29" ht="118.5" customHeight="1" thickBot="1" x14ac:dyDescent="0.5">
      <c r="O1"/>
    </row>
    <row r="2" spans="1:29" ht="19.149999999999999" customHeight="1" thickBot="1" x14ac:dyDescent="0.5">
      <c r="B2" s="96" t="s">
        <v>293</v>
      </c>
      <c r="L2" s="33" t="s">
        <v>241</v>
      </c>
      <c r="M2" s="34" t="s">
        <v>172</v>
      </c>
      <c r="Q2" s="24"/>
      <c r="R2" s="24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8.25" customHeight="1" thickBot="1" x14ac:dyDescent="0.7">
      <c r="B3" s="158" t="s">
        <v>240</v>
      </c>
      <c r="C3" s="159"/>
      <c r="J3" s="160" t="s">
        <v>227</v>
      </c>
      <c r="K3" s="161"/>
      <c r="L3" s="84">
        <f>L4-SUM(L28:L32)</f>
        <v>2076.3863926443037</v>
      </c>
      <c r="M3" s="84">
        <f>M4-SUM(M28:M32)</f>
        <v>2013.5313051341795</v>
      </c>
      <c r="Q3" s="24"/>
      <c r="R3" s="24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8.399999999999999" customHeight="1" thickBot="1" x14ac:dyDescent="0.5">
      <c r="A4" s="24"/>
      <c r="B4" s="26" t="s">
        <v>274</v>
      </c>
      <c r="C4" s="49">
        <v>100</v>
      </c>
      <c r="D4" s="50" t="s">
        <v>140</v>
      </c>
      <c r="J4" s="162" t="s">
        <v>121</v>
      </c>
      <c r="K4" s="163"/>
      <c r="L4" s="152">
        <f>SUM(L6:L26)</f>
        <v>2659.55</v>
      </c>
      <c r="M4" s="152">
        <f>SUM(M6:M26)</f>
        <v>2355.0699999999997</v>
      </c>
      <c r="Q4" s="24"/>
      <c r="R4" s="24"/>
      <c r="S4" s="5"/>
      <c r="T4" s="5" t="s">
        <v>122</v>
      </c>
      <c r="U4" s="5"/>
      <c r="V4" s="5">
        <f>$C$6*Datos!G15</f>
        <v>0</v>
      </c>
      <c r="W4" s="5">
        <f>$C$6*Datos!G16</f>
        <v>0</v>
      </c>
      <c r="X4" s="5"/>
      <c r="Y4" s="5"/>
      <c r="Z4" s="5"/>
      <c r="AA4" s="5"/>
      <c r="AB4" s="5"/>
      <c r="AC4" s="5"/>
    </row>
    <row r="5" spans="1:29" ht="18.399999999999999" customHeight="1" thickBot="1" x14ac:dyDescent="0.5">
      <c r="A5" s="24"/>
      <c r="B5" s="26" t="s">
        <v>163</v>
      </c>
      <c r="C5" s="48"/>
      <c r="D5" s="5" t="s">
        <v>285</v>
      </c>
      <c r="E5" s="5"/>
      <c r="F5" s="5"/>
      <c r="G5" s="5"/>
      <c r="H5" s="5"/>
      <c r="I5" s="5"/>
      <c r="J5" s="164"/>
      <c r="K5" s="165"/>
      <c r="L5" s="153"/>
      <c r="M5" s="153"/>
      <c r="Q5" s="24"/>
      <c r="R5" s="24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x14ac:dyDescent="0.45">
      <c r="A6" s="24"/>
      <c r="B6" s="6" t="str">
        <f>T4</f>
        <v>Trienios A1</v>
      </c>
      <c r="C6" s="17">
        <v>0</v>
      </c>
      <c r="D6" s="5" t="s">
        <v>288</v>
      </c>
      <c r="E6" s="5"/>
      <c r="F6" s="5"/>
      <c r="G6" s="5"/>
      <c r="H6" s="5"/>
      <c r="I6" s="5"/>
      <c r="J6" s="63" t="s">
        <v>118</v>
      </c>
      <c r="K6" s="67"/>
      <c r="L6" s="59">
        <f>ROUND((C4/100)*Datos!G6,2)</f>
        <v>1124.8499999999999</v>
      </c>
      <c r="M6" s="59">
        <f>ROUND((C4/100)*Datos!G7,2)</f>
        <v>820.37</v>
      </c>
      <c r="Q6" s="24"/>
      <c r="R6" s="24"/>
      <c r="S6" s="5"/>
      <c r="T6" s="5" t="s">
        <v>123</v>
      </c>
      <c r="U6" s="5"/>
      <c r="V6" s="5">
        <f>$C$7*Datos!G17</f>
        <v>0</v>
      </c>
      <c r="W6" s="5">
        <f>$C$7*Datos!G18</f>
        <v>0</v>
      </c>
      <c r="X6" s="5"/>
      <c r="Y6" s="5"/>
      <c r="Z6" s="5"/>
      <c r="AA6" s="5"/>
      <c r="AB6" s="5"/>
      <c r="AC6" s="5"/>
    </row>
    <row r="7" spans="1:29" x14ac:dyDescent="0.45">
      <c r="A7" s="24"/>
      <c r="B7" s="8" t="str">
        <f t="shared" ref="B7:B10" si="0">T6</f>
        <v>Trienios A2</v>
      </c>
      <c r="C7" s="18">
        <v>0</v>
      </c>
      <c r="D7" s="5"/>
      <c r="E7" s="5"/>
      <c r="F7" s="5"/>
      <c r="G7" s="5"/>
      <c r="H7" s="5"/>
      <c r="I7" s="5"/>
      <c r="J7" s="42" t="s">
        <v>119</v>
      </c>
      <c r="K7"/>
      <c r="L7" s="60">
        <f>ROUND(($C$4/100)*Datos!G9,2)</f>
        <v>683.75</v>
      </c>
      <c r="M7" s="60">
        <f>L7</f>
        <v>683.75</v>
      </c>
      <c r="Q7" s="24"/>
      <c r="R7" s="24"/>
      <c r="S7" s="5"/>
      <c r="T7" s="5" t="s">
        <v>124</v>
      </c>
      <c r="U7" s="5"/>
      <c r="V7" s="5">
        <f>$C$8*Datos!G19</f>
        <v>0</v>
      </c>
      <c r="W7" s="5">
        <f>$C$8*Datos!G20</f>
        <v>0</v>
      </c>
      <c r="X7" s="5"/>
      <c r="Y7" s="5"/>
      <c r="Z7" s="5"/>
      <c r="AA7" s="5"/>
      <c r="AB7" s="5"/>
      <c r="AC7" s="5"/>
    </row>
    <row r="8" spans="1:29" x14ac:dyDescent="0.45">
      <c r="A8" s="24"/>
      <c r="B8" s="8" t="str">
        <f t="shared" si="0"/>
        <v>Trienios C1</v>
      </c>
      <c r="C8" s="18">
        <v>0</v>
      </c>
      <c r="D8" s="5"/>
      <c r="E8" s="5"/>
      <c r="F8" s="5"/>
      <c r="G8" s="5"/>
      <c r="H8" s="5"/>
      <c r="I8" s="5"/>
      <c r="J8" s="42" t="s">
        <v>120</v>
      </c>
      <c r="K8" s="68"/>
      <c r="L8" s="60">
        <f>ROUND(($C$4/100)*Datos!G13,2)</f>
        <v>850.95</v>
      </c>
      <c r="M8" s="60">
        <f>L8</f>
        <v>850.95</v>
      </c>
      <c r="Q8" s="24"/>
      <c r="R8" s="24"/>
      <c r="S8" s="5"/>
      <c r="T8" s="5" t="s">
        <v>125</v>
      </c>
      <c r="U8" s="5"/>
      <c r="V8" s="5">
        <f>$C$9*Datos!G21</f>
        <v>0</v>
      </c>
      <c r="W8" s="5">
        <f>$C$9*Datos!G22</f>
        <v>0</v>
      </c>
      <c r="X8" s="5"/>
      <c r="Y8" s="5"/>
      <c r="Z8" s="5"/>
      <c r="AA8" s="5"/>
      <c r="AB8" s="5"/>
      <c r="AC8" s="5"/>
    </row>
    <row r="9" spans="1:29" x14ac:dyDescent="0.45">
      <c r="A9" s="24"/>
      <c r="B9" s="8" t="str">
        <f t="shared" si="0"/>
        <v>Trienios C2</v>
      </c>
      <c r="C9" s="18">
        <v>0</v>
      </c>
      <c r="D9" s="5"/>
      <c r="E9" s="5"/>
      <c r="F9" s="5"/>
      <c r="G9" s="5"/>
      <c r="H9" s="5"/>
      <c r="I9" s="5"/>
      <c r="J9" s="42" t="s">
        <v>126</v>
      </c>
      <c r="K9" s="68"/>
      <c r="L9" s="60">
        <f>IF(SUM(C6:C10)&gt;0,ROUND(V12*C4/100,2),0)</f>
        <v>0</v>
      </c>
      <c r="M9" s="60">
        <f>W12</f>
        <v>0</v>
      </c>
      <c r="Q9" s="24"/>
      <c r="R9" s="24"/>
      <c r="S9" s="5"/>
      <c r="T9" s="5" t="s">
        <v>127</v>
      </c>
      <c r="U9" s="5"/>
      <c r="V9" s="5">
        <f>$C$10*Datos!G23</f>
        <v>0</v>
      </c>
      <c r="W9" s="5">
        <f>$C$10*Datos!G24</f>
        <v>0</v>
      </c>
      <c r="X9" s="5"/>
      <c r="Y9" s="5"/>
      <c r="Z9" s="5"/>
      <c r="AA9" s="5"/>
      <c r="AB9" s="5"/>
      <c r="AC9" s="5"/>
    </row>
    <row r="10" spans="1:29" ht="14.65" thickBot="1" x14ac:dyDescent="0.5">
      <c r="A10" s="24"/>
      <c r="B10" s="12" t="str">
        <f t="shared" si="0"/>
        <v>Trienios agrupaciones especiales</v>
      </c>
      <c r="C10" s="19">
        <v>0</v>
      </c>
      <c r="D10" s="5"/>
      <c r="E10" s="5"/>
      <c r="F10" s="5"/>
      <c r="G10" s="5"/>
      <c r="H10" s="5"/>
      <c r="I10" s="5"/>
      <c r="J10" s="42" t="s">
        <v>153</v>
      </c>
      <c r="K10" s="68"/>
      <c r="L10" s="60">
        <f>IF(C12&gt;0,ROUND(N13*C4/100,2),0)</f>
        <v>0</v>
      </c>
      <c r="M10" s="60">
        <f>L10</f>
        <v>0</v>
      </c>
      <c r="Q10" s="24"/>
      <c r="R10" s="24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4.65" thickBot="1" x14ac:dyDescent="0.5">
      <c r="A11" s="5"/>
      <c r="B11" s="27" t="s">
        <v>284</v>
      </c>
      <c r="C11" s="20" t="s">
        <v>285</v>
      </c>
      <c r="D11" s="5"/>
      <c r="E11" s="5"/>
      <c r="F11" s="5"/>
      <c r="G11" s="5"/>
      <c r="H11" s="5"/>
      <c r="I11" s="5"/>
      <c r="J11" s="42" t="s">
        <v>24</v>
      </c>
      <c r="K11" s="68"/>
      <c r="L11" s="60">
        <f>IF(C13=D14,ROUND(C4*MAX(E28:E33,G28:G33)/100,2),0)</f>
        <v>0</v>
      </c>
      <c r="M11" s="60">
        <f t="shared" ref="M11:M26" si="1">L11</f>
        <v>0</v>
      </c>
      <c r="Q11" s="24"/>
      <c r="R11" s="24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4.65" thickBot="1" x14ac:dyDescent="0.5">
      <c r="A12" s="5"/>
      <c r="B12" s="27" t="s">
        <v>129</v>
      </c>
      <c r="C12" s="20">
        <v>0</v>
      </c>
      <c r="D12" s="5" t="str">
        <f>IF(OR(C13=D14,C13=D18,C13=D19,C13=D20),D14,"")</f>
        <v/>
      </c>
      <c r="E12" s="5"/>
      <c r="F12" s="5"/>
      <c r="G12" s="5"/>
      <c r="H12" s="5"/>
      <c r="I12" s="5"/>
      <c r="J12" s="42" t="s">
        <v>39</v>
      </c>
      <c r="K12" s="68"/>
      <c r="L12" s="60">
        <f>IF(C13=D16,ROUND(C4*MAX(F28:F32,H28:H32)/100,2),0)</f>
        <v>0</v>
      </c>
      <c r="M12" s="60">
        <f t="shared" si="1"/>
        <v>0</v>
      </c>
      <c r="Q12" s="24"/>
      <c r="R12" s="24"/>
      <c r="S12" s="5"/>
      <c r="T12" s="5" t="s">
        <v>128</v>
      </c>
      <c r="U12" s="5"/>
      <c r="V12" s="5">
        <f>SUM(V4:V9)</f>
        <v>0</v>
      </c>
      <c r="W12" s="5">
        <f>SUM(W4:W9)</f>
        <v>0</v>
      </c>
      <c r="X12" s="5"/>
      <c r="Y12" s="5"/>
      <c r="Z12" s="5"/>
      <c r="AA12" s="5"/>
      <c r="AB12" s="5"/>
      <c r="AC12" s="5"/>
    </row>
    <row r="13" spans="1:29" ht="14.65" thickBot="1" x14ac:dyDescent="0.5">
      <c r="A13" s="5"/>
      <c r="B13" s="27" t="s">
        <v>280</v>
      </c>
      <c r="C13" s="20" t="s">
        <v>141</v>
      </c>
      <c r="D13" s="5" t="s">
        <v>141</v>
      </c>
      <c r="E13" s="5"/>
      <c r="F13" s="5" t="s">
        <v>27</v>
      </c>
      <c r="G13" s="5" t="s">
        <v>136</v>
      </c>
      <c r="H13" s="5" t="s">
        <v>143</v>
      </c>
      <c r="I13" s="5"/>
      <c r="J13" s="42" t="s">
        <v>40</v>
      </c>
      <c r="K13" s="68"/>
      <c r="L13" s="99">
        <f>IF(C13=D15,ROUND(C4*MAX(F28:F32,H28:H32)/100,2),0)</f>
        <v>0</v>
      </c>
      <c r="M13" s="60">
        <f t="shared" si="1"/>
        <v>0</v>
      </c>
      <c r="N13" s="5">
        <f>IF(C12=1,Datos!J26,IF(C12=2,Datos!J27,IF(C12=3,Datos!J28,IF(C12=4,Datos!J29,IF(C12=5,Datos!J30,0)))))</f>
        <v>0</v>
      </c>
      <c r="Q13" s="24"/>
      <c r="R13" s="24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4.65" thickBot="1" x14ac:dyDescent="0.5">
      <c r="A14" s="5"/>
      <c r="B14" s="27" t="s">
        <v>130</v>
      </c>
      <c r="C14" s="20" t="s">
        <v>27</v>
      </c>
      <c r="D14" s="5" t="s">
        <v>132</v>
      </c>
      <c r="E14" s="5"/>
      <c r="F14" s="5" t="s">
        <v>28</v>
      </c>
      <c r="G14" s="5" t="s">
        <v>137</v>
      </c>
      <c r="H14" s="5" t="s">
        <v>144</v>
      </c>
      <c r="I14" s="5"/>
      <c r="J14" s="42" t="s">
        <v>154</v>
      </c>
      <c r="K14" s="68"/>
      <c r="L14" s="60">
        <f>IF(C13=D17,ROUND(Datos!G77*PTFP!C4/100,2),0)</f>
        <v>0</v>
      </c>
      <c r="M14" s="60">
        <f t="shared" si="1"/>
        <v>0</v>
      </c>
      <c r="Q14" s="24"/>
      <c r="R14" s="24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4.65" thickBot="1" x14ac:dyDescent="0.5">
      <c r="A15" s="5"/>
      <c r="B15" s="27" t="s">
        <v>53</v>
      </c>
      <c r="C15" s="20" t="s">
        <v>144</v>
      </c>
      <c r="D15" s="5" t="s">
        <v>133</v>
      </c>
      <c r="E15" s="5"/>
      <c r="F15" s="5" t="s">
        <v>29</v>
      </c>
      <c r="G15" s="5" t="s">
        <v>138</v>
      </c>
      <c r="H15" s="5"/>
      <c r="I15" s="5"/>
      <c r="J15" s="42" t="str">
        <f>B16</f>
        <v>Jefatura de Residencia Tipo A</v>
      </c>
      <c r="K15" s="68"/>
      <c r="L15" s="60">
        <f>IF(C16="Sí",ROUND(Datos!G85*PTFP!C4/100,2),0)</f>
        <v>0</v>
      </c>
      <c r="M15" s="60">
        <f t="shared" si="1"/>
        <v>0</v>
      </c>
      <c r="Q15" s="24"/>
      <c r="R15" s="24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4.65" thickBot="1" x14ac:dyDescent="0.5">
      <c r="A16" s="5"/>
      <c r="B16" s="27" t="s">
        <v>50</v>
      </c>
      <c r="C16" s="20" t="s">
        <v>144</v>
      </c>
      <c r="D16" s="5" t="s">
        <v>134</v>
      </c>
      <c r="E16" s="5"/>
      <c r="F16" s="5" t="s">
        <v>30</v>
      </c>
      <c r="G16" s="5" t="s">
        <v>139</v>
      </c>
      <c r="H16" s="5" t="s">
        <v>144</v>
      </c>
      <c r="I16" s="5"/>
      <c r="J16" s="42" t="str">
        <f>B17</f>
        <v>Jefatura de Residencia Tipo B</v>
      </c>
      <c r="K16" s="68"/>
      <c r="L16" s="60">
        <f>IF(C17="Sí",ROUND(Datos!G86*PTFP!C4/100,2),0)</f>
        <v>0</v>
      </c>
      <c r="M16" s="60">
        <f t="shared" si="1"/>
        <v>0</v>
      </c>
      <c r="Q16" s="24"/>
      <c r="R16" s="24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4.65" thickBot="1" x14ac:dyDescent="0.5">
      <c r="A17" s="5"/>
      <c r="B17" s="27" t="s">
        <v>51</v>
      </c>
      <c r="C17" s="20" t="s">
        <v>144</v>
      </c>
      <c r="D17" s="5" t="s">
        <v>142</v>
      </c>
      <c r="E17" s="5"/>
      <c r="F17" s="5" t="s">
        <v>31</v>
      </c>
      <c r="G17" s="5"/>
      <c r="H17" s="5" t="s">
        <v>145</v>
      </c>
      <c r="I17" s="5"/>
      <c r="J17" s="42" t="str">
        <f>B18</f>
        <v>Jefatura de Residencia de CEE</v>
      </c>
      <c r="K17" s="68"/>
      <c r="L17" s="60">
        <f>IF(C18="Sí",ROUND(Datos!G87*PTFP!C4/100,2),0)</f>
        <v>0</v>
      </c>
      <c r="M17" s="60">
        <f t="shared" si="1"/>
        <v>0</v>
      </c>
      <c r="Q17" s="24"/>
      <c r="R17" s="24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14.65" thickBot="1" x14ac:dyDescent="0.5">
      <c r="A18" s="5"/>
      <c r="B18" s="27" t="s">
        <v>104</v>
      </c>
      <c r="C18" s="20" t="s">
        <v>144</v>
      </c>
      <c r="D18" s="5" t="s">
        <v>281</v>
      </c>
      <c r="E18" s="5"/>
      <c r="F18" s="5" t="s">
        <v>32</v>
      </c>
      <c r="G18" s="5"/>
      <c r="H18" s="5" t="s">
        <v>146</v>
      </c>
      <c r="I18" s="5"/>
      <c r="J18" s="42" t="str">
        <f>B19</f>
        <v>Coordinación Equipos de Atención Hospitalaria y Domiciliaria</v>
      </c>
      <c r="K18" s="68"/>
      <c r="L18" s="60">
        <f>IF(C19="Sí",ROUND(Datos!G89*PTFP!C4/100,2),0)</f>
        <v>0</v>
      </c>
      <c r="M18" s="60">
        <f t="shared" si="1"/>
        <v>0</v>
      </c>
      <c r="Q18" s="24"/>
      <c r="R18" s="24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14.65" thickBot="1" x14ac:dyDescent="0.5">
      <c r="A19" s="5"/>
      <c r="B19" s="27" t="s">
        <v>102</v>
      </c>
      <c r="C19" s="20" t="s">
        <v>144</v>
      </c>
      <c r="D19" s="5" t="s">
        <v>282</v>
      </c>
      <c r="E19" s="5"/>
      <c r="F19" s="5"/>
      <c r="G19" s="5"/>
      <c r="H19" s="5" t="s">
        <v>147</v>
      </c>
      <c r="I19" s="5"/>
      <c r="J19" s="42" t="str">
        <f>B20</f>
        <v>Coordinación Programa Recuperación Pueblos Abandonados</v>
      </c>
      <c r="K19" s="68"/>
      <c r="L19" s="60">
        <f>IF(C20="Sí",ROUND(Datos!G90*PTFP!C4/100,2),0)</f>
        <v>0</v>
      </c>
      <c r="M19" s="60">
        <f t="shared" si="1"/>
        <v>0</v>
      </c>
      <c r="Q19" s="24"/>
      <c r="R19" s="24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14.65" thickBot="1" x14ac:dyDescent="0.5">
      <c r="A20" s="5"/>
      <c r="B20" s="27" t="s">
        <v>103</v>
      </c>
      <c r="C20" s="20" t="s">
        <v>144</v>
      </c>
      <c r="D20" s="5" t="s">
        <v>283</v>
      </c>
      <c r="E20" s="5"/>
      <c r="F20" s="5"/>
      <c r="G20" s="5"/>
      <c r="H20" s="5"/>
      <c r="I20" s="5"/>
      <c r="J20" s="42" t="s">
        <v>53</v>
      </c>
      <c r="K20" s="68"/>
      <c r="L20" s="60">
        <f>IF(C15="Sí",ROUND(Datos!G91*PTFP!C4/100,2),0)</f>
        <v>0</v>
      </c>
      <c r="M20" s="60">
        <f t="shared" si="1"/>
        <v>0</v>
      </c>
      <c r="Q20" s="24"/>
      <c r="R20" s="24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14.65" thickBot="1" x14ac:dyDescent="0.5">
      <c r="A21" s="5"/>
      <c r="B21" s="27" t="s">
        <v>54</v>
      </c>
      <c r="C21" s="20" t="s">
        <v>144</v>
      </c>
      <c r="D21" s="5">
        <f>IF(C13=D18,0.25,IF(C13=D19,0.4,IF(C13=D20,0.6,0)))</f>
        <v>0</v>
      </c>
      <c r="E21" s="5"/>
      <c r="F21" s="5"/>
      <c r="G21" s="5"/>
      <c r="H21" s="5"/>
      <c r="I21" s="5"/>
      <c r="J21" s="42" t="s">
        <v>276</v>
      </c>
      <c r="K21" s="68"/>
      <c r="L21" s="60">
        <f>IF(C22="Sí",ROUND(Datos!G97*PTFP!C4/100,2),0)</f>
        <v>0</v>
      </c>
      <c r="M21" s="60">
        <f t="shared" si="1"/>
        <v>0</v>
      </c>
      <c r="Q21" s="24"/>
      <c r="R21" s="24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14.65" thickBot="1" x14ac:dyDescent="0.5">
      <c r="A22" s="5"/>
      <c r="B22" s="27" t="s">
        <v>275</v>
      </c>
      <c r="C22" s="20" t="s">
        <v>144</v>
      </c>
      <c r="D22" s="5"/>
      <c r="E22" s="5"/>
      <c r="F22" s="5"/>
      <c r="G22" s="5"/>
      <c r="H22" s="5"/>
      <c r="I22" s="5"/>
      <c r="J22" s="42" t="s">
        <v>158</v>
      </c>
      <c r="K22" s="68"/>
      <c r="L22" s="60">
        <f>IF(C24="Sí",ROUND(C4*SUM(D24:D26)/100,2),0)</f>
        <v>0</v>
      </c>
      <c r="M22" s="60">
        <f>L22</f>
        <v>0</v>
      </c>
      <c r="Q22" s="24"/>
      <c r="R22" s="24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14.65" thickBot="1" x14ac:dyDescent="0.5">
      <c r="A23" s="5"/>
      <c r="B23" s="27" t="s">
        <v>347</v>
      </c>
      <c r="C23" s="20" t="s">
        <v>144</v>
      </c>
      <c r="D23" s="5"/>
      <c r="E23" s="5"/>
      <c r="F23" s="5"/>
      <c r="G23" s="5"/>
      <c r="H23" s="5"/>
      <c r="I23" s="5"/>
      <c r="J23" s="42" t="s">
        <v>348</v>
      </c>
      <c r="K23" s="68"/>
      <c r="L23" s="60">
        <f>IF(C23="Sí",ROUND(Datos!G96*C4/100,2),0)</f>
        <v>0</v>
      </c>
      <c r="M23" s="60">
        <f>L23</f>
        <v>0</v>
      </c>
      <c r="Q23" s="24"/>
      <c r="R23" s="24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4.65" thickBot="1" x14ac:dyDescent="0.5">
      <c r="A24" s="5"/>
      <c r="B24" s="27" t="s">
        <v>150</v>
      </c>
      <c r="C24" s="20" t="s">
        <v>144</v>
      </c>
      <c r="D24" s="5">
        <f>IF(C24="No",0,Datos!G102)</f>
        <v>0</v>
      </c>
      <c r="E24" s="5"/>
      <c r="F24" s="5"/>
      <c r="G24" s="5"/>
      <c r="H24" s="5"/>
      <c r="I24" s="5"/>
      <c r="J24" s="42" t="s">
        <v>159</v>
      </c>
      <c r="K24" s="68"/>
      <c r="L24" s="60">
        <f>IF(C27="Sí",ROUND(C4*MIN(D28:D37)/100,2),0)</f>
        <v>0</v>
      </c>
      <c r="M24" s="60">
        <f>L24</f>
        <v>0</v>
      </c>
      <c r="Q24" s="24"/>
      <c r="R24" s="24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14.65" thickBot="1" x14ac:dyDescent="0.5">
      <c r="A25" s="5"/>
      <c r="B25" s="15" t="s">
        <v>148</v>
      </c>
      <c r="C25" s="20" t="s">
        <v>144</v>
      </c>
      <c r="D25" s="5">
        <f>IF(AND(C24="Sí",C25="Sí"),Datos!G103,0)</f>
        <v>0</v>
      </c>
      <c r="E25" s="5"/>
      <c r="F25" s="5"/>
      <c r="G25" s="5"/>
      <c r="H25" s="5"/>
      <c r="I25" s="5"/>
      <c r="J25" s="42" t="s">
        <v>279</v>
      </c>
      <c r="K25" s="69"/>
      <c r="L25" s="60">
        <f>IF(D21&gt;0,ROUND(C4*MAX(E28:E34,G28:G34)*D21/100,2),0)</f>
        <v>0</v>
      </c>
      <c r="M25" s="60">
        <f>L25</f>
        <v>0</v>
      </c>
      <c r="Q25" s="24"/>
      <c r="R25" s="24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14.65" thickBot="1" x14ac:dyDescent="0.5">
      <c r="A26" s="5"/>
      <c r="B26" s="14" t="s">
        <v>149</v>
      </c>
      <c r="C26" s="21">
        <v>0</v>
      </c>
      <c r="D26" s="5">
        <f>IF(C24="Sí",C26*Datos!G104,0)</f>
        <v>0</v>
      </c>
      <c r="E26" s="5"/>
      <c r="F26" s="5"/>
      <c r="G26" s="5"/>
      <c r="H26" s="5"/>
      <c r="I26" s="5"/>
      <c r="J26" s="61" t="s">
        <v>289</v>
      </c>
      <c r="K26" s="70"/>
      <c r="L26" s="62">
        <f>IF(C21="Sí",ROUND(Datos!G92*C4/100,2),0)</f>
        <v>0</v>
      </c>
      <c r="M26" s="62">
        <f t="shared" si="1"/>
        <v>0</v>
      </c>
      <c r="Q26" s="24"/>
      <c r="R26" s="24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14.65" thickBot="1" x14ac:dyDescent="0.5">
      <c r="A27" s="5"/>
      <c r="B27" s="27" t="s">
        <v>151</v>
      </c>
      <c r="C27" s="20" t="s">
        <v>144</v>
      </c>
      <c r="D27" s="5"/>
      <c r="E27" s="5" t="s">
        <v>131</v>
      </c>
      <c r="F27" s="5" t="s">
        <v>160</v>
      </c>
      <c r="G27" s="5" t="s">
        <v>286</v>
      </c>
      <c r="H27" s="5" t="s">
        <v>287</v>
      </c>
      <c r="I27" s="5"/>
      <c r="J27" s="64" t="s">
        <v>168</v>
      </c>
      <c r="K27" s="65"/>
      <c r="L27" s="66"/>
      <c r="M27" s="65"/>
      <c r="Q27" s="24"/>
      <c r="R27" s="24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4.65" thickBot="1" x14ac:dyDescent="0.5">
      <c r="A28" s="5"/>
      <c r="B28" s="15" t="s">
        <v>152</v>
      </c>
      <c r="C28" s="20">
        <v>0</v>
      </c>
      <c r="D28" s="5">
        <f>IF($C$28&lt;=50,Datos!G107,"")</f>
        <v>16.559999999999999</v>
      </c>
      <c r="E28" s="5" t="str">
        <f>IF(AND(C11=D5,$D12=$D$14,$C$14=F13),Datos!G64,"")</f>
        <v/>
      </c>
      <c r="F28" s="5" t="str">
        <f>IF(AND(OR($C$13=$D$15,$C$13=$D$16),$C$14=F13,C11=D5),Datos!G68,"")</f>
        <v/>
      </c>
      <c r="G28" s="5" t="str">
        <f>IF(AND(C11=D6,$D12=$D$14,$C$14=F13),Datos!G32,"")</f>
        <v/>
      </c>
      <c r="H28" s="5" t="str">
        <f>IF(AND(OR($C$13=$D$15,$C$13=$D$16),$C$14=F13,C11=D6),Datos!G38,"")</f>
        <v/>
      </c>
      <c r="I28" s="5"/>
      <c r="J28" s="9" t="s">
        <v>237</v>
      </c>
      <c r="K28" s="46"/>
      <c r="L28" s="22">
        <f>IF(OR(C30=A37,C30=A36),40.68*C4/100,0)</f>
        <v>0</v>
      </c>
      <c r="M28" s="56">
        <f>L28</f>
        <v>0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4.65" thickBot="1" x14ac:dyDescent="0.5">
      <c r="A29" s="5"/>
      <c r="B29" s="166" t="s">
        <v>239</v>
      </c>
      <c r="C29" s="167"/>
      <c r="D29" s="5">
        <f>IF($C$28&lt;=100,Datos!G108,"")</f>
        <v>33.119999999999997</v>
      </c>
      <c r="E29" s="5" t="str">
        <f>IF(AND(C11=D5,$D$12=$D$14,$C$14=F14),Datos!G65,"")</f>
        <v/>
      </c>
      <c r="F29" s="5" t="str">
        <f>IF(AND(OR($C$13=$D$15,$C$13=$D$16),$C$14=F14,C11=D5),Datos!G69,"")</f>
        <v/>
      </c>
      <c r="G29" s="5" t="str">
        <f>IF(AND(C11=D6,$D12=$D$14,$C$14=F14),Datos!G33,"")</f>
        <v/>
      </c>
      <c r="H29" s="5" t="str">
        <f>IF(AND(OR($C$13=$D$15,$C$13=$D$16),$C$14=F14,C11=D6),Datos!G39,"")</f>
        <v/>
      </c>
      <c r="I29" s="5"/>
      <c r="J29" s="9" t="s">
        <v>238</v>
      </c>
      <c r="K29" s="46"/>
      <c r="L29" s="22">
        <f>IF(AND(OR(C30=A37,C30=A36),C31&lt;2011),92.9*C4/100,0)</f>
        <v>0</v>
      </c>
      <c r="M29" s="56">
        <f>L29</f>
        <v>0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14.65" thickBot="1" x14ac:dyDescent="0.5">
      <c r="A30" s="5"/>
      <c r="B30" s="27" t="s">
        <v>164</v>
      </c>
      <c r="C30" s="20" t="s">
        <v>167</v>
      </c>
      <c r="D30" s="5">
        <f>IF($C$28&lt;=150,Datos!G109,"")</f>
        <v>49.68</v>
      </c>
      <c r="E30" s="5" t="str">
        <f>IF(AND(C11=D5,$D$12=$D$14,$C$14=F15),Datos!G66,"")</f>
        <v/>
      </c>
      <c r="F30" s="5" t="str">
        <f>IF(AND(OR($C$13=$D$15,$C$13=$D$16),$C$14=F15,C11=D5),Datos!G70,"")</f>
        <v/>
      </c>
      <c r="G30" s="5" t="str">
        <f>IF(AND(C11=D6,$D12=$D$14,$C$14=F15),Datos!G34,"")</f>
        <v/>
      </c>
      <c r="H30" s="5" t="str">
        <f>IF(AND(OR($C$13=$D$15,$C$13=$D$16),$C$14=F15,C11=D6),Datos!G40,"")</f>
        <v/>
      </c>
      <c r="I30" s="5"/>
      <c r="J30" s="9" t="s">
        <v>169</v>
      </c>
      <c r="K30" s="46"/>
      <c r="L30" s="22">
        <f>IF(OR(C30=A37,AND(C30=A36,C31&gt;=2011)),(L4+(M4/6))*L69,0)</f>
        <v>0</v>
      </c>
      <c r="M30" s="11">
        <v>0</v>
      </c>
      <c r="P30" s="5"/>
      <c r="Q30" s="5"/>
      <c r="R30" s="5"/>
      <c r="S30" s="5"/>
      <c r="T30" s="5"/>
      <c r="U30" s="5"/>
      <c r="V30" s="5"/>
      <c r="W30" s="5"/>
    </row>
    <row r="31" spans="1:29" ht="14.65" thickBot="1" x14ac:dyDescent="0.5">
      <c r="A31" s="5"/>
      <c r="B31" s="27" t="str">
        <f>IF(C30=A36,"¿En qué año aprobaste la oposición?","")</f>
        <v/>
      </c>
      <c r="C31" s="20"/>
      <c r="D31" s="5">
        <f>IF($C$28&lt;=200,Datos!G110,"")</f>
        <v>66.239999999999995</v>
      </c>
      <c r="E31" s="5" t="str">
        <f>IF(AND(C11=D5,$D$12=$D$14,$C$14=F16),Datos!G67,"")</f>
        <v/>
      </c>
      <c r="F31" s="5" t="str">
        <f>IF(AND(OR($C$13=$D$15,$C$13=$D$16),$C$14=F16,C11=D5),Datos!G71,"")</f>
        <v/>
      </c>
      <c r="G31" s="5" t="str">
        <f>IF(AND(C11=D6,$D12=$D$14,$C$14=F13),Datos!G35,"")</f>
        <v/>
      </c>
      <c r="H31" s="5" t="str">
        <f>IF(AND(OR($C$13=$D$15,$C$13=$D$16),$C$14=F16,C11=D6),Datos!G41,"")</f>
        <v/>
      </c>
      <c r="I31" s="5"/>
      <c r="J31" s="9" t="s">
        <v>170</v>
      </c>
      <c r="K31" s="46"/>
      <c r="L31" s="53">
        <f>IF(C30=A38,L4*0.0647+M4*0.0647/6,0)</f>
        <v>197.4683898333333</v>
      </c>
      <c r="M31" s="11">
        <v>0</v>
      </c>
      <c r="P31" s="5"/>
      <c r="Q31" s="5"/>
      <c r="R31" s="5"/>
      <c r="S31" s="5"/>
      <c r="T31" s="5"/>
      <c r="U31" s="5"/>
      <c r="V31" s="5"/>
      <c r="W31" s="5"/>
    </row>
    <row r="32" spans="1:29" ht="14.65" thickBot="1" x14ac:dyDescent="0.5">
      <c r="A32" s="5"/>
      <c r="B32" s="166" t="s">
        <v>175</v>
      </c>
      <c r="C32" s="167"/>
      <c r="D32" s="5">
        <f>IF($C$28&lt;=250,Datos!G111,"")</f>
        <v>82.8</v>
      </c>
      <c r="E32" s="5" t="str">
        <f>IF(AND($C$13=$D$14,$C$15&lt;&gt;"",$C$15&lt;&gt;$G$13,$C$14=F17),Datos!G36,"")</f>
        <v/>
      </c>
      <c r="F32" s="5"/>
      <c r="G32" s="5" t="str">
        <f>IF(AND(C11=D6,$D12=$D$14,$C$14=F16),Datos!G36,"")</f>
        <v/>
      </c>
      <c r="H32" s="5" t="str">
        <f>IF(AND(OR($C$13=$D$15,$C$13=$D$16),$C$14=F17,C11=D6),Datos!G42,"")</f>
        <v/>
      </c>
      <c r="I32" s="5"/>
      <c r="J32" s="16" t="s">
        <v>171</v>
      </c>
      <c r="K32" s="55">
        <f>L62</f>
        <v>0.14502273599757975</v>
      </c>
      <c r="L32" s="54">
        <f>L4*K32</f>
        <v>385.69521752236324</v>
      </c>
      <c r="M32" s="57">
        <f>M4*K32</f>
        <v>341.5386948658201</v>
      </c>
      <c r="O32" s="5"/>
      <c r="P32" s="5"/>
      <c r="Q32" s="5"/>
      <c r="R32" s="5"/>
      <c r="S32" s="5"/>
      <c r="T32" s="5"/>
      <c r="U32" s="5"/>
      <c r="V32" s="5"/>
      <c r="W32" s="5"/>
    </row>
    <row r="33" spans="1:23" ht="14.65" thickBot="1" x14ac:dyDescent="0.5">
      <c r="A33" s="5"/>
      <c r="B33" s="27" t="s">
        <v>177</v>
      </c>
      <c r="C33" s="20" t="s">
        <v>144</v>
      </c>
      <c r="D33" s="5">
        <f>IF($C$28&lt;=300,Datos!G112,"")</f>
        <v>99.36</v>
      </c>
      <c r="E33" s="5" t="str">
        <f>IF(AND($C$13=$D$14,$C$15&lt;&gt;"",$C$15&lt;&gt;$G$13,$C$14=F18),Datos!G37,"")</f>
        <v/>
      </c>
      <c r="F33" s="5"/>
      <c r="G33" s="5" t="str">
        <f>IF(AND(C11=D6,$D12=$D$14,$C$14=F17),Datos!G37,"")</f>
        <v/>
      </c>
      <c r="H33" s="5"/>
      <c r="I33" s="5"/>
      <c r="O33" s="5" t="s">
        <v>182</v>
      </c>
      <c r="P33" s="5"/>
      <c r="Q33" s="5"/>
      <c r="R33" s="5"/>
      <c r="S33" s="5"/>
      <c r="T33" s="5"/>
      <c r="U33" s="5"/>
      <c r="V33" s="5"/>
      <c r="W33" s="5"/>
    </row>
    <row r="34" spans="1:23" ht="14.65" thickBot="1" x14ac:dyDescent="0.5">
      <c r="A34" s="5"/>
      <c r="B34" s="27" t="s">
        <v>197</v>
      </c>
      <c r="C34" s="148">
        <v>0</v>
      </c>
      <c r="D34" s="5">
        <f>IF($C$28&lt;=350,Datos!G113,"")</f>
        <v>115.92</v>
      </c>
      <c r="E34" s="5"/>
      <c r="F34" s="5" t="str">
        <f>IF(AND(OR($C$13=$D$15,$C$13=$D$16),$C$15&lt;&gt;"",$C$15&lt;&gt;$G$13,$C$14=F19),Datos!G44,"")</f>
        <v/>
      </c>
      <c r="G34" s="5" t="str">
        <f>IF(AND(C11=D6,$D12=$D$14,$C$14=F18),Datos!G38,"")</f>
        <v/>
      </c>
      <c r="H34" s="5"/>
      <c r="I34" s="5"/>
      <c r="J34" s="25"/>
      <c r="K34" s="25"/>
      <c r="L34" s="25"/>
      <c r="M34" s="25"/>
      <c r="O34" s="5" t="s">
        <v>183</v>
      </c>
      <c r="P34" s="5">
        <v>2400</v>
      </c>
      <c r="Q34" s="5">
        <v>2400</v>
      </c>
      <c r="R34" s="5"/>
      <c r="S34" s="5"/>
      <c r="T34" s="5"/>
      <c r="U34" s="5"/>
      <c r="V34" s="5"/>
      <c r="W34" s="5"/>
    </row>
    <row r="35" spans="1:23" ht="14.65" thickBot="1" x14ac:dyDescent="0.5">
      <c r="A35" s="5"/>
      <c r="B35" s="27" t="s">
        <v>196</v>
      </c>
      <c r="C35" s="148">
        <v>0</v>
      </c>
      <c r="D35" s="5">
        <f>IF($C$28&lt;=450,Datos!G114,"")</f>
        <v>132.47999999999999</v>
      </c>
      <c r="E35" s="5"/>
      <c r="F35" s="5"/>
      <c r="G35" s="5"/>
      <c r="H35" s="5"/>
      <c r="I35" s="5"/>
      <c r="J35" s="85" t="s">
        <v>173</v>
      </c>
      <c r="K35" s="86"/>
      <c r="L35" s="87"/>
      <c r="M35" s="25"/>
      <c r="O35" s="5" t="s">
        <v>184</v>
      </c>
      <c r="P35" s="5">
        <v>2700</v>
      </c>
      <c r="Q35" s="5">
        <f>Q34+P35</f>
        <v>5100</v>
      </c>
      <c r="R35" s="5"/>
      <c r="S35" s="5"/>
      <c r="T35" s="5"/>
      <c r="U35" s="5"/>
      <c r="V35" s="5"/>
      <c r="W35" s="5"/>
    </row>
    <row r="36" spans="1:23" ht="14.65" thickBot="1" x14ac:dyDescent="0.5">
      <c r="A36" s="5" t="s">
        <v>165</v>
      </c>
      <c r="B36" s="28" t="s">
        <v>180</v>
      </c>
      <c r="C36" s="20">
        <v>3</v>
      </c>
      <c r="D36" s="5">
        <f>IF($C$28&lt;=450,Datos!G115,"")</f>
        <v>149.04</v>
      </c>
      <c r="E36" s="5"/>
      <c r="F36" s="5"/>
      <c r="G36" s="5"/>
      <c r="H36" s="5"/>
      <c r="I36" s="5"/>
      <c r="J36" s="42" t="s">
        <v>174</v>
      </c>
      <c r="K36" s="43"/>
      <c r="L36" s="81">
        <f>L4*12+M4*2</f>
        <v>36624.740000000005</v>
      </c>
      <c r="O36" s="5" t="s">
        <v>185</v>
      </c>
      <c r="P36" s="5">
        <v>4000</v>
      </c>
      <c r="Q36" s="5">
        <f>Q35+P36</f>
        <v>9100</v>
      </c>
      <c r="R36" s="5"/>
      <c r="S36" s="5"/>
      <c r="T36" s="5"/>
      <c r="U36" s="5"/>
      <c r="V36" s="5"/>
      <c r="W36" s="5"/>
    </row>
    <row r="37" spans="1:23" ht="14.75" customHeight="1" thickBot="1" x14ac:dyDescent="0.5">
      <c r="A37" s="5" t="s">
        <v>166</v>
      </c>
      <c r="B37" s="27" t="s">
        <v>179</v>
      </c>
      <c r="C37" s="20">
        <v>0</v>
      </c>
      <c r="D37" s="5">
        <f>IF($C$28&lt;=1000050,Datos!G116,"")</f>
        <v>165.6</v>
      </c>
      <c r="E37" s="5"/>
      <c r="F37" s="5"/>
      <c r="G37" s="5"/>
      <c r="H37" s="5"/>
      <c r="I37" s="5"/>
      <c r="J37" s="9" t="s">
        <v>265</v>
      </c>
      <c r="K37" s="10"/>
      <c r="L37" s="11">
        <f>IF(AND(C48="Sí",L36&lt;33007.2),TRUNC(L36*0.02),0)</f>
        <v>0</v>
      </c>
      <c r="M37" s="24"/>
      <c r="N37" s="24"/>
      <c r="O37" s="5" t="s">
        <v>186</v>
      </c>
      <c r="P37" s="5">
        <v>4500</v>
      </c>
      <c r="Q37" s="5"/>
      <c r="R37" s="5"/>
      <c r="S37" s="5"/>
      <c r="T37" s="5"/>
      <c r="U37" s="5"/>
      <c r="V37" s="5"/>
      <c r="W37" s="5"/>
    </row>
    <row r="38" spans="1:23" ht="14.75" customHeight="1" thickBot="1" x14ac:dyDescent="0.5">
      <c r="A38" s="5" t="s">
        <v>167</v>
      </c>
      <c r="B38" s="29" t="s">
        <v>202</v>
      </c>
      <c r="C38" s="20" t="s">
        <v>144</v>
      </c>
      <c r="D38" s="5" t="str">
        <f>IF(B70=A69,"Sí","No")</f>
        <v>Sí</v>
      </c>
      <c r="E38" s="5"/>
      <c r="F38" s="5"/>
      <c r="G38" s="5"/>
      <c r="H38" s="5"/>
      <c r="I38" s="5"/>
      <c r="J38" s="9" t="s">
        <v>271</v>
      </c>
      <c r="K38" s="10"/>
      <c r="L38" s="11">
        <f>IF(L36-L39&lt;14047.5,6498,IF(L36-L39&lt;19747.5,6498-(1.14*(L36-L39-14047.5)),0))</f>
        <v>0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4.75" customHeight="1" thickBot="1" x14ac:dyDescent="0.5">
      <c r="A39" s="5" t="s">
        <v>188</v>
      </c>
      <c r="B39" s="27" t="s">
        <v>187</v>
      </c>
      <c r="C39" s="20" t="s">
        <v>188</v>
      </c>
      <c r="D39" s="5"/>
      <c r="E39" s="5"/>
      <c r="F39" s="5"/>
      <c r="G39" s="5"/>
      <c r="H39" s="5"/>
      <c r="I39" s="5"/>
      <c r="J39" s="42" t="s">
        <v>242</v>
      </c>
      <c r="K39" s="43"/>
      <c r="L39" s="81">
        <f>SUM(L27:L30)*14+SUM(M27:M30)*2</f>
        <v>0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4.75" customHeight="1" thickBot="1" x14ac:dyDescent="0.5">
      <c r="A40" s="5" t="s">
        <v>190</v>
      </c>
      <c r="B40" s="29" t="s">
        <v>195</v>
      </c>
      <c r="C40" s="20" t="s">
        <v>144</v>
      </c>
      <c r="D40" s="5"/>
      <c r="E40" s="5"/>
      <c r="F40" s="5"/>
      <c r="G40" s="5"/>
      <c r="H40" s="5"/>
      <c r="I40" s="5"/>
      <c r="J40" s="42" t="s">
        <v>247</v>
      </c>
      <c r="K40" s="43"/>
      <c r="L40" s="81">
        <f>C34+2000+M41</f>
        <v>2000</v>
      </c>
      <c r="M40" s="5"/>
      <c r="N40" s="5"/>
      <c r="O40" s="24"/>
      <c r="P40" s="5"/>
      <c r="Q40" s="5"/>
      <c r="R40" s="5"/>
      <c r="S40" s="5"/>
      <c r="T40" s="5"/>
      <c r="U40" s="5"/>
      <c r="V40" s="5"/>
      <c r="W40" s="5"/>
    </row>
    <row r="41" spans="1:23" ht="14.75" customHeight="1" thickBot="1" x14ac:dyDescent="0.5">
      <c r="A41" s="5" t="s">
        <v>189</v>
      </c>
      <c r="B41" s="27" t="s">
        <v>198</v>
      </c>
      <c r="C41" s="20">
        <v>1</v>
      </c>
      <c r="D41" s="5"/>
      <c r="E41" s="5"/>
      <c r="F41" s="5"/>
      <c r="G41" s="5"/>
      <c r="H41" s="5"/>
      <c r="I41" s="5"/>
      <c r="J41" s="42" t="s">
        <v>176</v>
      </c>
      <c r="K41" s="43"/>
      <c r="L41" s="81">
        <f>IF(C33="Sí",1150+5550,5550)</f>
        <v>5550</v>
      </c>
      <c r="M41" s="5">
        <f>IF(AND(C39=A42,C40="No"),3500,IF(OR(C39=A41,C39=A42),7750,0))</f>
        <v>0</v>
      </c>
      <c r="N41" s="5"/>
      <c r="O41" s="24"/>
      <c r="P41" s="5"/>
      <c r="Q41" s="5"/>
      <c r="R41" s="5"/>
      <c r="S41" s="5"/>
      <c r="T41" s="5"/>
      <c r="U41" s="5"/>
      <c r="V41" s="5"/>
      <c r="W41" s="5"/>
    </row>
    <row r="42" spans="1:23" ht="14.75" customHeight="1" x14ac:dyDescent="0.45">
      <c r="A42" s="5" t="s">
        <v>191</v>
      </c>
      <c r="B42" s="168" t="s">
        <v>213</v>
      </c>
      <c r="C42" s="170">
        <v>0</v>
      </c>
      <c r="D42" s="5"/>
      <c r="E42" s="5"/>
      <c r="F42" s="5"/>
      <c r="G42" s="5"/>
      <c r="H42" s="5"/>
      <c r="I42" s="5"/>
      <c r="J42" s="42" t="s">
        <v>178</v>
      </c>
      <c r="K42" s="43"/>
      <c r="L42" s="81">
        <f>SUM(C71:C74)</f>
        <v>0</v>
      </c>
      <c r="M42" s="5"/>
      <c r="N42" s="5"/>
      <c r="O42" s="24"/>
      <c r="P42" s="5"/>
      <c r="Q42" s="5"/>
      <c r="R42" s="5"/>
      <c r="S42" s="5"/>
      <c r="T42" s="5"/>
      <c r="U42" s="5"/>
      <c r="V42" s="5"/>
      <c r="W42" s="5"/>
    </row>
    <row r="43" spans="1:23" ht="14.75" customHeight="1" x14ac:dyDescent="0.45">
      <c r="A43" s="5"/>
      <c r="B43" s="168"/>
      <c r="C43" s="171"/>
      <c r="D43" s="5"/>
      <c r="E43" s="5"/>
      <c r="F43" s="5"/>
      <c r="G43" s="5"/>
      <c r="H43" s="5"/>
      <c r="I43" s="5"/>
      <c r="J43" s="42" t="s">
        <v>181</v>
      </c>
      <c r="K43" s="43"/>
      <c r="L43" s="81">
        <f>IF(C38="no",M49/2+1400*C37,M49+2800*C37)</f>
        <v>4550</v>
      </c>
      <c r="M43" s="5"/>
      <c r="N43" s="5"/>
      <c r="O43" s="24"/>
      <c r="P43" s="5"/>
      <c r="Q43" s="5"/>
      <c r="R43" s="5"/>
      <c r="S43" s="5"/>
      <c r="T43" s="5"/>
      <c r="U43" s="5"/>
      <c r="V43" s="5"/>
      <c r="W43" s="5"/>
    </row>
    <row r="44" spans="1:23" ht="14.75" customHeight="1" thickBot="1" x14ac:dyDescent="0.5">
      <c r="A44" s="5"/>
      <c r="B44" s="169"/>
      <c r="C44" s="172"/>
      <c r="D44" s="5"/>
      <c r="E44" s="5"/>
      <c r="F44" s="5"/>
      <c r="G44" s="5"/>
      <c r="H44" s="5"/>
      <c r="I44" s="5"/>
      <c r="J44" s="42" t="s">
        <v>192</v>
      </c>
      <c r="K44" s="43"/>
      <c r="L44" s="81">
        <f>IF(C39=A41,9000,IF(C39=A42,3000,0))</f>
        <v>0</v>
      </c>
      <c r="M44" s="5"/>
      <c r="N44" s="5"/>
      <c r="O44" s="24"/>
      <c r="P44" s="5"/>
      <c r="Q44" s="5"/>
      <c r="R44" s="5"/>
      <c r="S44" s="5"/>
      <c r="T44" s="5"/>
      <c r="U44" s="5"/>
      <c r="V44" s="5"/>
      <c r="W44" s="5"/>
    </row>
    <row r="45" spans="1:23" ht="14.75" customHeight="1" x14ac:dyDescent="0.45">
      <c r="A45" s="5"/>
      <c r="B45" s="173" t="s">
        <v>213</v>
      </c>
      <c r="C45" s="170">
        <v>0</v>
      </c>
      <c r="D45" s="5"/>
      <c r="E45" s="5"/>
      <c r="F45" s="5"/>
      <c r="G45" s="5"/>
      <c r="H45" s="5"/>
      <c r="I45" s="5"/>
      <c r="J45" s="42" t="s">
        <v>193</v>
      </c>
      <c r="K45" s="43"/>
      <c r="L45" s="81">
        <f>SUM(C75:C78)</f>
        <v>0</v>
      </c>
      <c r="M45" s="5"/>
      <c r="N45" s="5"/>
      <c r="O45" s="24"/>
      <c r="P45" s="5"/>
      <c r="Q45" s="5"/>
      <c r="R45" s="5"/>
      <c r="S45" s="5"/>
      <c r="T45" s="5"/>
      <c r="U45" s="5"/>
      <c r="V45" s="5"/>
      <c r="W45" s="5"/>
    </row>
    <row r="46" spans="1:23" ht="14.75" customHeight="1" x14ac:dyDescent="0.45">
      <c r="A46" s="5"/>
      <c r="B46" s="168"/>
      <c r="C46" s="171"/>
      <c r="D46" s="5"/>
      <c r="E46" s="5"/>
      <c r="F46" s="5"/>
      <c r="G46" s="5"/>
      <c r="H46" s="5"/>
      <c r="I46" s="5"/>
      <c r="J46" s="42" t="s">
        <v>194</v>
      </c>
      <c r="K46" s="43"/>
      <c r="L46" s="81">
        <f>IF(C38="Sí",M51,M51/2)</f>
        <v>6000</v>
      </c>
      <c r="M46" s="5"/>
      <c r="N46" s="5"/>
      <c r="O46" s="24"/>
      <c r="P46" s="5"/>
      <c r="Q46" s="5"/>
      <c r="R46" s="5"/>
      <c r="S46" s="5"/>
      <c r="T46" s="5"/>
      <c r="U46" s="5"/>
      <c r="V46" s="5"/>
      <c r="W46" s="5"/>
    </row>
    <row r="47" spans="1:23" ht="14.75" customHeight="1" thickBot="1" x14ac:dyDescent="0.5">
      <c r="A47" s="5"/>
      <c r="B47" s="169"/>
      <c r="C47" s="172"/>
      <c r="D47" s="5"/>
      <c r="E47" s="5"/>
      <c r="F47" s="5"/>
      <c r="G47" s="5"/>
      <c r="H47" s="5"/>
      <c r="I47" s="5"/>
      <c r="J47" s="42" t="s">
        <v>212</v>
      </c>
      <c r="K47" s="43"/>
      <c r="L47" s="81">
        <f>IF(OR(C40="Sí",C39=A41),3000,0)</f>
        <v>0</v>
      </c>
      <c r="M47" s="5"/>
      <c r="N47" s="5"/>
      <c r="O47" s="24"/>
      <c r="P47" s="5"/>
      <c r="Q47" s="5"/>
      <c r="R47" s="5"/>
      <c r="S47" s="5"/>
      <c r="T47" s="5"/>
      <c r="U47" s="5"/>
      <c r="V47" s="5"/>
      <c r="W47" s="5"/>
    </row>
    <row r="48" spans="1:23" ht="14.75" customHeight="1" thickBot="1" x14ac:dyDescent="0.5">
      <c r="A48" s="24"/>
      <c r="B48" s="27" t="s">
        <v>273</v>
      </c>
      <c r="C48" s="20" t="s">
        <v>144</v>
      </c>
      <c r="D48" s="5"/>
      <c r="E48" s="5"/>
      <c r="F48" s="5"/>
      <c r="G48" s="5"/>
      <c r="H48" s="5"/>
      <c r="I48" s="5"/>
      <c r="J48" s="9" t="s">
        <v>214</v>
      </c>
      <c r="K48" s="10"/>
      <c r="L48" s="11">
        <f>SUM(L41:L47)</f>
        <v>16100</v>
      </c>
      <c r="M48" s="5"/>
      <c r="N48" s="5"/>
      <c r="O48" s="24"/>
      <c r="P48" s="5"/>
      <c r="Q48" s="5"/>
      <c r="R48" s="5"/>
      <c r="S48" s="5"/>
      <c r="T48" s="5"/>
      <c r="U48" s="5"/>
      <c r="V48" s="5"/>
      <c r="W48" s="5"/>
    </row>
    <row r="49" spans="1:23" ht="14.75" customHeight="1" thickBot="1" x14ac:dyDescent="0.5">
      <c r="A49" s="24"/>
      <c r="B49" s="27" t="s">
        <v>266</v>
      </c>
      <c r="C49" s="149"/>
      <c r="D49" s="5"/>
      <c r="E49" s="5"/>
      <c r="F49" s="5"/>
      <c r="G49" s="5"/>
      <c r="H49" s="5"/>
      <c r="I49" s="5"/>
      <c r="J49" s="9" t="s">
        <v>215</v>
      </c>
      <c r="K49" s="10"/>
      <c r="L49" s="11">
        <f>MAX(0,L36-L39-L40-L38)</f>
        <v>34624.740000000005</v>
      </c>
      <c r="M49" s="5">
        <f>IF(C36=1,Q34,IF(C36=2,Q35,IF(C36=3,Q36,IF(C36&lt;1,0,Q36+4500*(C36-3)))))</f>
        <v>9100</v>
      </c>
      <c r="N49" s="5"/>
      <c r="O49" s="24"/>
      <c r="P49" s="5"/>
      <c r="Q49" s="5"/>
      <c r="R49" s="5"/>
      <c r="S49" s="5"/>
      <c r="T49" s="5"/>
      <c r="U49" s="5"/>
      <c r="V49" s="5"/>
      <c r="W49" s="5"/>
    </row>
    <row r="50" spans="1:23" ht="14.75" customHeight="1" thickBot="1" x14ac:dyDescent="0.5">
      <c r="A50" s="24"/>
      <c r="B50" s="30" t="s">
        <v>199</v>
      </c>
      <c r="C50" s="141"/>
      <c r="D50" s="5"/>
      <c r="E50" s="5"/>
      <c r="F50" s="5"/>
      <c r="G50" s="5"/>
      <c r="H50" s="5"/>
      <c r="I50" s="5"/>
      <c r="J50" s="9" t="s">
        <v>216</v>
      </c>
      <c r="K50" s="10"/>
      <c r="L50" s="11">
        <f>IF(L48&gt;12450,0,MAX(0,MIN(12450,L49)-L48))</f>
        <v>0</v>
      </c>
      <c r="M50" s="5"/>
      <c r="N50" s="5"/>
      <c r="O50" s="24"/>
      <c r="P50" s="5"/>
      <c r="Q50" s="5"/>
      <c r="R50" s="5"/>
      <c r="S50" s="5"/>
      <c r="T50" s="5"/>
      <c r="U50" s="5"/>
      <c r="V50" s="5"/>
      <c r="W50" s="5"/>
    </row>
    <row r="51" spans="1:23" ht="14.75" customHeight="1" thickBot="1" x14ac:dyDescent="0.5">
      <c r="A51" s="24"/>
      <c r="B51" s="30" t="s">
        <v>200</v>
      </c>
      <c r="C51" s="141" t="s">
        <v>191</v>
      </c>
      <c r="D51" s="5"/>
      <c r="E51" s="5"/>
      <c r="F51" s="5"/>
      <c r="G51" s="5"/>
      <c r="H51" s="5"/>
      <c r="I51" s="5"/>
      <c r="J51" s="9" t="s">
        <v>217</v>
      </c>
      <c r="K51" s="10"/>
      <c r="L51" s="11">
        <f>IF(IF(L48&gt;20200,0,IF(L49&gt;20200,MIN(20200-L48,20200-12450),MIN(L49-L48,L49-12450)))&lt;0,0,IF(L48&gt;20200,0,IF(L49&gt;20200,MIN(20200-L48,20200-12450),MIN(L49-L48,L49-12450))))</f>
        <v>4100</v>
      </c>
      <c r="M51" s="5">
        <f>C41*12000+C42*6000+C45*3000</f>
        <v>12000</v>
      </c>
      <c r="N51" s="5"/>
      <c r="O51" s="24"/>
      <c r="P51" s="5"/>
      <c r="Q51" s="5"/>
      <c r="R51" s="5"/>
      <c r="S51" s="5"/>
      <c r="T51" s="5"/>
      <c r="U51" s="5"/>
      <c r="V51" s="5"/>
      <c r="W51" s="5"/>
    </row>
    <row r="52" spans="1:23" ht="14.75" customHeight="1" thickBot="1" x14ac:dyDescent="0.5">
      <c r="A52" s="24"/>
      <c r="B52" s="30" t="s">
        <v>207</v>
      </c>
      <c r="C52" s="20" t="s">
        <v>144</v>
      </c>
      <c r="D52" s="5"/>
      <c r="E52" s="5"/>
      <c r="F52" s="5"/>
      <c r="G52" s="5"/>
      <c r="H52" s="5"/>
      <c r="I52" s="5"/>
      <c r="J52" s="9" t="s">
        <v>218</v>
      </c>
      <c r="K52" s="10"/>
      <c r="L52" s="11">
        <f>IF(IF(L48&gt;35200,0,IF(L49&gt;35200,MIN(35200-L48,35200-20200),MIN(L49-L48,L49-20200)))&lt;0,0,IF(L48&gt;35200,0,IF(L49&gt;35200,MIN(35200-L48,35200-20200),MIN(L49-L48,L49-20200))))</f>
        <v>14424.740000000005</v>
      </c>
      <c r="M52" s="5"/>
      <c r="N52" s="5"/>
      <c r="O52" s="24"/>
      <c r="P52" s="5"/>
      <c r="Q52" s="5"/>
      <c r="R52" s="5"/>
      <c r="S52" s="5"/>
      <c r="T52" s="5"/>
      <c r="U52" s="5"/>
      <c r="V52" s="5"/>
      <c r="W52" s="5"/>
    </row>
    <row r="53" spans="1:23" ht="14.75" customHeight="1" thickBot="1" x14ac:dyDescent="0.5">
      <c r="A53" s="5"/>
      <c r="B53" s="31" t="s">
        <v>201</v>
      </c>
      <c r="C53" s="141">
        <v>1</v>
      </c>
      <c r="D53" s="5"/>
      <c r="E53" s="5"/>
      <c r="F53" s="5"/>
      <c r="G53" s="5"/>
      <c r="H53" s="5"/>
      <c r="I53" s="5"/>
      <c r="J53" s="9" t="s">
        <v>219</v>
      </c>
      <c r="K53" s="10"/>
      <c r="L53" s="11">
        <f>IF(IF(L48&gt;60000,0,IF(L49&gt;60000,MIN(35200-L48,60000-35200),MIN(L49-L48,L49-35200)))&lt;0,0,IF(L48&gt;60000,0,IF(L49&gt;60000,MIN(35200-L48,60000-35200),MIN(L49-L48,L49-35200))))</f>
        <v>0</v>
      </c>
      <c r="M53" s="5"/>
      <c r="N53" s="5"/>
      <c r="O53" s="24"/>
      <c r="P53" s="5"/>
      <c r="Q53" s="5"/>
      <c r="R53" s="5"/>
      <c r="S53" s="5"/>
      <c r="T53" s="5"/>
      <c r="U53" s="5"/>
      <c r="V53" s="5"/>
      <c r="W53" s="5"/>
    </row>
    <row r="54" spans="1:23" ht="14.75" customHeight="1" thickBot="1" x14ac:dyDescent="0.5">
      <c r="A54" s="5"/>
      <c r="B54" s="27" t="s">
        <v>267</v>
      </c>
      <c r="C54" s="149"/>
      <c r="H54" s="5"/>
      <c r="I54" s="5"/>
      <c r="J54" s="9" t="s">
        <v>220</v>
      </c>
      <c r="K54" s="10"/>
      <c r="L54" s="11">
        <f>IF(IF(L48&gt;30000,0,IF(L49&gt;300000,MIN(60000-L48,300000-60000),MIN(L49-L48,L49-60000)))&lt;0,0,IF(L48&gt;30000,0,IF(L49&gt;300000,MIN(60000-L48,300000-60000),MIN(L49-L48,L49-60000))))</f>
        <v>0</v>
      </c>
      <c r="M54" s="5"/>
      <c r="N54" s="5"/>
      <c r="O54" s="24"/>
      <c r="P54" s="5"/>
      <c r="Q54" s="5"/>
      <c r="R54" s="5"/>
      <c r="S54" s="5"/>
      <c r="T54" s="5"/>
      <c r="U54" s="5"/>
      <c r="V54" s="5"/>
      <c r="W54" s="5"/>
    </row>
    <row r="55" spans="1:23" ht="14.75" customHeight="1" thickBot="1" x14ac:dyDescent="0.5">
      <c r="A55" s="5"/>
      <c r="B55" s="30" t="s">
        <v>199</v>
      </c>
      <c r="C55" s="141"/>
      <c r="H55" s="5"/>
      <c r="I55" s="5"/>
      <c r="J55" s="9" t="s">
        <v>221</v>
      </c>
      <c r="K55" s="10"/>
      <c r="L55" s="11">
        <f>ROUND(L50*0.19,2)</f>
        <v>0</v>
      </c>
      <c r="M55" s="5"/>
      <c r="N55" s="5"/>
      <c r="O55" s="24"/>
      <c r="P55" s="5"/>
      <c r="Q55" s="5"/>
      <c r="R55" s="5"/>
      <c r="S55" s="5"/>
      <c r="T55" s="5"/>
      <c r="U55" s="5"/>
      <c r="V55" s="5"/>
      <c r="W55" s="5"/>
    </row>
    <row r="56" spans="1:23" ht="14.75" customHeight="1" thickBot="1" x14ac:dyDescent="0.5">
      <c r="A56" s="5"/>
      <c r="B56" s="30" t="s">
        <v>200</v>
      </c>
      <c r="C56" s="141" t="s">
        <v>189</v>
      </c>
      <c r="G56" s="5"/>
      <c r="H56" s="5"/>
      <c r="I56" s="5"/>
      <c r="J56" s="9" t="s">
        <v>222</v>
      </c>
      <c r="K56" s="10"/>
      <c r="L56" s="11">
        <f>ROUND(L51*0.24,2)</f>
        <v>984</v>
      </c>
      <c r="M56" s="5"/>
      <c r="N56" s="5"/>
      <c r="P56" s="5"/>
      <c r="Q56" s="5"/>
      <c r="R56" s="5"/>
      <c r="S56" s="5"/>
      <c r="T56" s="5"/>
      <c r="U56" s="5"/>
      <c r="V56" s="5"/>
      <c r="W56" s="5"/>
    </row>
    <row r="57" spans="1:23" ht="14.75" customHeight="1" thickBot="1" x14ac:dyDescent="0.5">
      <c r="A57" s="5"/>
      <c r="B57" s="30" t="s">
        <v>207</v>
      </c>
      <c r="C57" s="20" t="s">
        <v>143</v>
      </c>
      <c r="G57" s="5"/>
      <c r="H57" s="5"/>
      <c r="I57" s="5"/>
      <c r="J57" s="9" t="s">
        <v>223</v>
      </c>
      <c r="K57" s="10"/>
      <c r="L57" s="11">
        <f>ROUND(L52*0.3,2)</f>
        <v>4327.42</v>
      </c>
      <c r="M57" s="5"/>
      <c r="N57" s="5"/>
      <c r="P57" s="5"/>
      <c r="Q57" s="5"/>
      <c r="R57" s="5"/>
      <c r="S57" s="5"/>
      <c r="T57" s="5"/>
      <c r="U57" s="5"/>
      <c r="V57" s="5"/>
      <c r="W57" s="5"/>
    </row>
    <row r="58" spans="1:23" ht="14.75" customHeight="1" thickBot="1" x14ac:dyDescent="0.5">
      <c r="A58" s="5"/>
      <c r="B58" s="31" t="s">
        <v>201</v>
      </c>
      <c r="C58" s="141">
        <v>2</v>
      </c>
      <c r="G58" s="5"/>
      <c r="H58" s="5"/>
      <c r="I58" s="5"/>
      <c r="J58" s="9" t="s">
        <v>224</v>
      </c>
      <c r="K58" s="10"/>
      <c r="L58" s="11">
        <f>ROUND(L53*0.37,2)</f>
        <v>0</v>
      </c>
      <c r="P58" s="5"/>
      <c r="Q58" s="5"/>
      <c r="R58" s="5"/>
      <c r="S58" s="5"/>
      <c r="T58" s="5"/>
      <c r="U58" s="5"/>
      <c r="V58" s="5"/>
      <c r="W58" s="5"/>
    </row>
    <row r="59" spans="1:23" ht="14.65" thickBot="1" x14ac:dyDescent="0.5">
      <c r="A59" s="5"/>
      <c r="B59" s="27" t="s">
        <v>268</v>
      </c>
      <c r="C59" s="149"/>
      <c r="G59" s="5"/>
      <c r="H59" s="5"/>
      <c r="I59" s="5"/>
      <c r="J59" s="9" t="s">
        <v>225</v>
      </c>
      <c r="K59" s="10"/>
      <c r="L59" s="11">
        <f>ROUND(L54*0.45,2)</f>
        <v>0</v>
      </c>
      <c r="P59" s="5"/>
      <c r="Q59" s="5"/>
      <c r="R59" s="5"/>
      <c r="S59" s="5"/>
      <c r="T59" s="5"/>
      <c r="U59" s="5"/>
      <c r="V59" s="5"/>
      <c r="W59" s="5"/>
    </row>
    <row r="60" spans="1:23" ht="14.65" thickBot="1" x14ac:dyDescent="0.5">
      <c r="A60" s="5"/>
      <c r="B60" s="30" t="s">
        <v>199</v>
      </c>
      <c r="C60" s="141"/>
      <c r="G60" s="5"/>
      <c r="H60" s="5"/>
      <c r="I60" s="5"/>
      <c r="J60" s="9" t="s">
        <v>272</v>
      </c>
      <c r="K60" s="10"/>
      <c r="L60" s="56">
        <f>SUM(L55:L59)</f>
        <v>5311.42</v>
      </c>
      <c r="P60" s="5"/>
      <c r="Q60" s="5"/>
      <c r="R60" s="5"/>
      <c r="S60" s="5"/>
      <c r="T60" s="5"/>
      <c r="U60" s="5"/>
      <c r="V60" s="5"/>
      <c r="W60" s="5"/>
    </row>
    <row r="61" spans="1:23" ht="14.65" thickBot="1" x14ac:dyDescent="0.5">
      <c r="A61" s="5"/>
      <c r="B61" s="30" t="s">
        <v>200</v>
      </c>
      <c r="C61" s="141" t="s">
        <v>188</v>
      </c>
      <c r="G61" s="5"/>
      <c r="H61" s="5"/>
      <c r="I61" s="5"/>
      <c r="J61" s="9" t="s">
        <v>270</v>
      </c>
      <c r="K61" s="10"/>
      <c r="L61" s="56">
        <f>MAX(0,C130-L37)</f>
        <v>5311.4220000000023</v>
      </c>
      <c r="P61" s="5"/>
      <c r="Q61" s="5"/>
      <c r="R61" s="5"/>
      <c r="S61" s="5"/>
      <c r="T61" s="5"/>
      <c r="U61" s="5"/>
      <c r="V61" s="5"/>
      <c r="W61" s="5"/>
    </row>
    <row r="62" spans="1:23" ht="14.65" thickBot="1" x14ac:dyDescent="0.5">
      <c r="A62" s="5"/>
      <c r="B62" s="32" t="s">
        <v>207</v>
      </c>
      <c r="C62" s="20" t="s">
        <v>144</v>
      </c>
      <c r="G62" s="5"/>
      <c r="H62" s="5"/>
      <c r="I62" s="5"/>
      <c r="J62" s="91" t="s">
        <v>226</v>
      </c>
      <c r="K62" s="92"/>
      <c r="L62" s="93">
        <f>IF(M62&lt;0.02,0.02,M62)</f>
        <v>0.14502273599757975</v>
      </c>
      <c r="M62" s="5">
        <f>IF(L61&lt;L60,L61/L36,L60/L36)</f>
        <v>0.14502273599757975</v>
      </c>
    </row>
    <row r="63" spans="1:23" ht="14.65" thickBot="1" x14ac:dyDescent="0.5">
      <c r="A63" s="5"/>
      <c r="B63" s="31" t="s">
        <v>201</v>
      </c>
      <c r="C63" s="141">
        <v>1</v>
      </c>
      <c r="G63" s="5"/>
      <c r="H63" s="5"/>
      <c r="I63" s="5"/>
    </row>
    <row r="64" spans="1:23" ht="14.65" thickBot="1" x14ac:dyDescent="0.5">
      <c r="A64" s="5"/>
      <c r="B64" s="27" t="s">
        <v>269</v>
      </c>
      <c r="C64" s="149"/>
      <c r="G64" s="5"/>
      <c r="H64" s="5"/>
      <c r="I64" s="5"/>
      <c r="J64" s="85" t="s">
        <v>228</v>
      </c>
      <c r="K64" s="88"/>
      <c r="L64" s="89"/>
    </row>
    <row r="65" spans="1:12" ht="14.65" thickBot="1" x14ac:dyDescent="0.5">
      <c r="A65" s="5"/>
      <c r="B65" s="30" t="s">
        <v>199</v>
      </c>
      <c r="C65" s="141"/>
      <c r="G65" s="5"/>
      <c r="H65" s="5"/>
      <c r="I65" s="5"/>
      <c r="J65" s="9" t="s">
        <v>230</v>
      </c>
      <c r="K65" s="7"/>
      <c r="L65" s="82">
        <v>4.7E-2</v>
      </c>
    </row>
    <row r="66" spans="1:12" ht="14.65" thickBot="1" x14ac:dyDescent="0.5">
      <c r="A66" s="5"/>
      <c r="B66" s="30" t="s">
        <v>200</v>
      </c>
      <c r="C66" s="141" t="s">
        <v>188</v>
      </c>
      <c r="G66" s="5"/>
      <c r="H66" s="5"/>
      <c r="I66" s="5"/>
      <c r="J66" s="9" t="s">
        <v>231</v>
      </c>
      <c r="K66" s="7"/>
      <c r="L66" s="82">
        <v>1.1999999999999999E-3</v>
      </c>
    </row>
    <row r="67" spans="1:12" ht="14.65" thickBot="1" x14ac:dyDescent="0.5">
      <c r="A67" s="5"/>
      <c r="B67" s="32" t="s">
        <v>207</v>
      </c>
      <c r="C67" s="20" t="s">
        <v>144</v>
      </c>
      <c r="G67" s="5"/>
      <c r="H67" s="5"/>
      <c r="I67" s="5"/>
      <c r="J67" s="9" t="s">
        <v>236</v>
      </c>
      <c r="K67" s="7"/>
      <c r="L67" s="82">
        <v>0.28299999999999997</v>
      </c>
    </row>
    <row r="68" spans="1:12" ht="14.65" thickBot="1" x14ac:dyDescent="0.5">
      <c r="A68" s="5"/>
      <c r="B68" s="32" t="s">
        <v>201</v>
      </c>
      <c r="C68" s="141">
        <v>1</v>
      </c>
      <c r="G68" s="5"/>
      <c r="H68" s="5"/>
      <c r="I68" s="5"/>
      <c r="J68" s="9" t="s">
        <v>235</v>
      </c>
      <c r="K68" s="7"/>
      <c r="L68" s="46">
        <v>1.0999999999999999E-2</v>
      </c>
    </row>
    <row r="69" spans="1:12" ht="14.65" thickBot="1" x14ac:dyDescent="0.5">
      <c r="A69" s="35" t="s">
        <v>246</v>
      </c>
      <c r="B69" s="28" t="s">
        <v>243</v>
      </c>
      <c r="C69" s="80">
        <f>IF(B70=A69,1,IF(B70=A70,2,IF(B70=A71,3,0)))</f>
        <v>1</v>
      </c>
      <c r="G69" s="5"/>
      <c r="H69" s="5"/>
      <c r="I69" s="5"/>
      <c r="J69" s="91" t="s">
        <v>234</v>
      </c>
      <c r="K69" s="92"/>
      <c r="L69" s="94">
        <f>L65+L66-(L67*L68)</f>
        <v>4.5087000000000002E-2</v>
      </c>
    </row>
    <row r="70" spans="1:12" ht="42" customHeight="1" thickBot="1" x14ac:dyDescent="0.5">
      <c r="A70" s="35" t="s">
        <v>244</v>
      </c>
      <c r="B70" s="156" t="s">
        <v>246</v>
      </c>
      <c r="C70" s="157"/>
      <c r="G70" s="5"/>
      <c r="H70" s="5"/>
      <c r="I70" s="5"/>
    </row>
    <row r="71" spans="1:12" x14ac:dyDescent="0.45">
      <c r="A71" s="35" t="s">
        <v>245</v>
      </c>
      <c r="B71" s="5" t="s">
        <v>203</v>
      </c>
      <c r="C71" s="5">
        <f>IF(C50&gt;=75,ROUND((1150+1400)/C53,2),IF(C50&gt;=65,ROUND(1150/C53,2),0))</f>
        <v>0</v>
      </c>
      <c r="G71" s="5"/>
      <c r="H71" s="5"/>
      <c r="I71" s="5"/>
      <c r="J71" s="85" t="s">
        <v>229</v>
      </c>
      <c r="K71" s="88"/>
      <c r="L71" s="89"/>
    </row>
    <row r="72" spans="1:12" x14ac:dyDescent="0.45">
      <c r="A72" s="5"/>
      <c r="B72" s="5" t="s">
        <v>204</v>
      </c>
      <c r="C72" s="5">
        <f>IF(C55&gt;=75,ROUND((1150+1400)/C58,2),IF(C55&gt;=65,ROUND(1150/C58,2),0))</f>
        <v>0</v>
      </c>
      <c r="D72" s="5"/>
      <c r="E72" s="5"/>
      <c r="F72" s="5"/>
      <c r="G72" s="5"/>
      <c r="H72" s="5"/>
      <c r="I72" s="5"/>
      <c r="J72" s="9" t="s">
        <v>230</v>
      </c>
      <c r="K72" s="7"/>
      <c r="L72" s="82">
        <v>4.7E-2</v>
      </c>
    </row>
    <row r="73" spans="1:12" x14ac:dyDescent="0.45">
      <c r="A73" s="5"/>
      <c r="B73" s="5" t="s">
        <v>205</v>
      </c>
      <c r="C73" s="5">
        <f>IF(C60&gt;=75,ROUND((1150+1400)/C63,2),IF(C60&gt;=65,ROUND(1150/C63,2),0))</f>
        <v>0</v>
      </c>
      <c r="D73" s="5"/>
      <c r="E73" s="5"/>
      <c r="F73" s="5"/>
      <c r="G73" s="5"/>
      <c r="H73" s="5"/>
      <c r="I73" s="5"/>
      <c r="J73" s="9" t="s">
        <v>231</v>
      </c>
      <c r="K73" s="7"/>
      <c r="L73" s="82">
        <v>1.1999999999999999E-3</v>
      </c>
    </row>
    <row r="74" spans="1:12" x14ac:dyDescent="0.45">
      <c r="A74" s="5"/>
      <c r="B74" s="5" t="s">
        <v>206</v>
      </c>
      <c r="C74" s="5">
        <f>IF(C65&gt;=75,ROUND((1150+1400)/C68,2),IF(C65&gt;=65,ROUND(1150/C68,2),0))</f>
        <v>0</v>
      </c>
      <c r="D74" s="5"/>
      <c r="E74" s="5"/>
      <c r="F74" s="5"/>
      <c r="G74" s="5"/>
      <c r="H74" s="5"/>
      <c r="I74" s="5"/>
      <c r="J74" s="9" t="s">
        <v>232</v>
      </c>
      <c r="K74" s="7"/>
      <c r="L74" s="82">
        <v>1.55E-2</v>
      </c>
    </row>
    <row r="75" spans="1:12" x14ac:dyDescent="0.45">
      <c r="A75" s="25"/>
      <c r="B75" s="5" t="s">
        <v>208</v>
      </c>
      <c r="C75" s="5">
        <f>IF(C50&lt;65,0,IF(C51=A41,ROUND(12000/C53,2),IF(AND(C51=A42,C52="No"),ROUND(3000/C53,2),IF(AND(C51=A42,C52="Sí"),ROUND(6000/C53,2),""))))</f>
        <v>0</v>
      </c>
      <c r="D75" s="5"/>
      <c r="E75" s="5"/>
      <c r="F75" s="5"/>
      <c r="G75" s="5"/>
      <c r="H75" s="5"/>
      <c r="I75" s="5"/>
      <c r="J75" s="9" t="s">
        <v>233</v>
      </c>
      <c r="K75" s="7"/>
      <c r="L75" s="82">
        <v>1E-3</v>
      </c>
    </row>
    <row r="76" spans="1:12" ht="14.65" thickBot="1" x14ac:dyDescent="0.5">
      <c r="A76" s="25"/>
      <c r="B76" s="5" t="s">
        <v>209</v>
      </c>
      <c r="C76" s="5">
        <f>IF(C55&lt;65,0,IF(C56=A41,ROUND(12000/C58,2),IF(AND(C56=A42,C57="No"),ROUND(3000/C58,2),IF(AND(C56=A42,C57="Sí"),ROUND(6000/C58,2),""))))</f>
        <v>0</v>
      </c>
      <c r="D76" s="5"/>
      <c r="E76" s="5"/>
      <c r="F76" s="5"/>
      <c r="G76" s="5"/>
      <c r="H76" s="5"/>
      <c r="I76" s="5"/>
      <c r="J76" s="91" t="s">
        <v>234</v>
      </c>
      <c r="K76" s="92"/>
      <c r="L76" s="93">
        <f>SUM(L72:L75)</f>
        <v>6.4700000000000008E-2</v>
      </c>
    </row>
    <row r="77" spans="1:12" x14ac:dyDescent="0.45">
      <c r="A77" s="25"/>
      <c r="B77" s="5" t="s">
        <v>210</v>
      </c>
      <c r="C77" s="5">
        <f>IF(C60&lt;65,0,IF(C61=A41,ROUND(12000/C63,2),IF(AND(C61=A42,C62="No"),ROUND(3000/C63,2),IF(AND(C61=A42,C62="Sí"),ROUND(6000/C63,2),""))))</f>
        <v>0</v>
      </c>
      <c r="D77" s="5"/>
      <c r="E77" s="5"/>
      <c r="F77" s="5"/>
      <c r="G77" s="5"/>
      <c r="H77" s="5"/>
      <c r="I77" s="5"/>
    </row>
    <row r="78" spans="1:12" x14ac:dyDescent="0.45">
      <c r="A78" s="25"/>
      <c r="B78" s="5" t="s">
        <v>211</v>
      </c>
      <c r="C78" s="5">
        <f>IF(C65&lt;65,0,IF(C66=A41,ROUND(12000/C68,2),IF(AND(C66=A42,C67="No"),ROUND(3000/C68,2),IF(AND(C66=A42,C67="Sí"),ROUND(6000/C68,2),""))))</f>
        <v>0</v>
      </c>
      <c r="D78" s="5"/>
      <c r="E78" s="5"/>
      <c r="F78" s="5"/>
      <c r="G78" s="5"/>
      <c r="H78" s="5"/>
      <c r="I78" s="5"/>
    </row>
    <row r="79" spans="1:12" x14ac:dyDescent="0.45">
      <c r="A79" s="25"/>
      <c r="B79" s="5"/>
      <c r="C79" s="5"/>
      <c r="I79" s="5"/>
    </row>
    <row r="80" spans="1:12" x14ac:dyDescent="0.45">
      <c r="A80" s="25"/>
      <c r="B80" s="5" t="s">
        <v>248</v>
      </c>
      <c r="C80" s="5"/>
      <c r="I80" s="5"/>
    </row>
    <row r="81" spans="1:9" x14ac:dyDescent="0.45">
      <c r="A81" s="25"/>
      <c r="B81" s="5" t="s">
        <v>249</v>
      </c>
      <c r="C81" s="39">
        <f>L49-C35</f>
        <v>34624.740000000005</v>
      </c>
      <c r="I81" s="5"/>
    </row>
    <row r="82" spans="1:9" x14ac:dyDescent="0.45">
      <c r="A82" s="25"/>
      <c r="B82" s="5" t="s">
        <v>250</v>
      </c>
      <c r="C82" s="39">
        <f>C35</f>
        <v>0</v>
      </c>
      <c r="I82" s="5"/>
    </row>
    <row r="83" spans="1:9" x14ac:dyDescent="0.45">
      <c r="A83" s="25"/>
      <c r="B83" s="5" t="s">
        <v>251</v>
      </c>
      <c r="C83" s="40">
        <f>MAX(B85:B90)</f>
        <v>8552.9220000000023</v>
      </c>
      <c r="I83" s="5"/>
    </row>
    <row r="84" spans="1:9" x14ac:dyDescent="0.45">
      <c r="A84" s="25"/>
      <c r="B84" s="5" t="s">
        <v>253</v>
      </c>
      <c r="C84" s="5"/>
      <c r="I84" s="5"/>
    </row>
    <row r="85" spans="1:9" x14ac:dyDescent="0.45">
      <c r="A85" s="25"/>
      <c r="B85" s="5" t="str">
        <f>IF(C81&lt;12450,0+(C81)*0.19,"")</f>
        <v/>
      </c>
      <c r="C85" s="5"/>
      <c r="I85" s="5"/>
    </row>
    <row r="86" spans="1:9" x14ac:dyDescent="0.45">
      <c r="A86" s="25"/>
      <c r="B86" s="5" t="str">
        <f>IF(AND(C81&gt;=12450,C81&lt;20200),2365.5+(C81-12450)*0.24,"")</f>
        <v/>
      </c>
      <c r="C86" s="5"/>
      <c r="I86" s="5"/>
    </row>
    <row r="87" spans="1:9" x14ac:dyDescent="0.45">
      <c r="A87" s="25"/>
      <c r="B87" s="5">
        <f>IF(AND(C81&gt;=20200,C81&lt;35200),4225.5+(C81-20200)*0.3,"")</f>
        <v>8552.9220000000023</v>
      </c>
      <c r="C87" s="5"/>
      <c r="I87" s="5"/>
    </row>
    <row r="88" spans="1:9" x14ac:dyDescent="0.45">
      <c r="A88" s="25"/>
      <c r="B88" s="5" t="str">
        <f>IF(AND(C81&gt;=35200,C81&lt;60000),8725.5+(C81-35200)*0.37,"")</f>
        <v/>
      </c>
      <c r="C88" s="5"/>
      <c r="I88" s="5"/>
    </row>
    <row r="89" spans="1:9" x14ac:dyDescent="0.45">
      <c r="A89" s="25"/>
      <c r="B89" s="5" t="str">
        <f>IF(AND(C81&gt;=60000,C81&lt;300000),17901.5+(C81-60000)*0.45,"")</f>
        <v/>
      </c>
      <c r="C89" s="5"/>
      <c r="I89" s="5"/>
    </row>
    <row r="90" spans="1:9" x14ac:dyDescent="0.45">
      <c r="A90" s="25"/>
      <c r="B90" s="5" t="str">
        <f>IF(C81&gt;300000,125901.5+(C81-300000)*0.47,"")</f>
        <v/>
      </c>
      <c r="C90" s="5"/>
      <c r="I90" s="5"/>
    </row>
    <row r="91" spans="1:9" x14ac:dyDescent="0.45">
      <c r="A91" s="25"/>
      <c r="B91" s="5" t="s">
        <v>252</v>
      </c>
      <c r="C91" s="40">
        <f>MAX(B92:B97)</f>
        <v>0</v>
      </c>
      <c r="I91" s="5"/>
    </row>
    <row r="92" spans="1:9" x14ac:dyDescent="0.45">
      <c r="A92" s="25"/>
      <c r="B92" s="5">
        <f>IF(C82&lt;12450,0+(C82)*0.19,"")</f>
        <v>0</v>
      </c>
      <c r="C92" s="5"/>
      <c r="I92" s="5"/>
    </row>
    <row r="93" spans="1:9" x14ac:dyDescent="0.45">
      <c r="A93" s="25"/>
      <c r="B93" s="5" t="str">
        <f>IF(AND(C82&gt;=12450,C82&lt;20200),2365.5+(C82-12450)*0.24,"")</f>
        <v/>
      </c>
      <c r="C93" s="5"/>
      <c r="I93" s="5"/>
    </row>
    <row r="94" spans="1:9" x14ac:dyDescent="0.45">
      <c r="A94" s="25"/>
      <c r="B94" s="5" t="str">
        <f>IF(AND(C82&gt;=20200,C82&lt;35200),4225.5+(C82-20200)*0.3,"")</f>
        <v/>
      </c>
      <c r="C94" s="5"/>
      <c r="I94" s="5"/>
    </row>
    <row r="95" spans="1:9" x14ac:dyDescent="0.45">
      <c r="A95" s="25"/>
      <c r="B95" s="5" t="str">
        <f>IF(AND(C82&gt;=35200,C82&lt;60000),8725.5+(C82-35200)*0.37,"")</f>
        <v/>
      </c>
      <c r="C95" s="5"/>
      <c r="I95" s="5"/>
    </row>
    <row r="96" spans="1:9" x14ac:dyDescent="0.45">
      <c r="A96" s="25"/>
      <c r="B96" s="5" t="str">
        <f>IF(AND(C82&gt;=60000,C82&lt;300000),17901.5+(C82-60000)*0.45,"")</f>
        <v/>
      </c>
      <c r="C96" s="5"/>
    </row>
    <row r="97" spans="2:3" x14ac:dyDescent="0.45">
      <c r="B97" s="5" t="str">
        <f>IF(C82&gt;300000,125901.5+(C82-300000)*0.47,"")</f>
        <v/>
      </c>
      <c r="C97" s="5"/>
    </row>
    <row r="98" spans="2:3" x14ac:dyDescent="0.45">
      <c r="B98" s="5" t="s">
        <v>254</v>
      </c>
      <c r="C98" s="39">
        <f>IF(AND(C35&gt;0,L49-C35&gt;0),C91+C83,C108)</f>
        <v>8552.9220000000023</v>
      </c>
    </row>
    <row r="99" spans="2:3" x14ac:dyDescent="0.45">
      <c r="B99" s="5" t="s">
        <v>255</v>
      </c>
      <c r="C99" s="40">
        <f>IF(AND(C35&gt;0,L49-C35&gt;0),L48+1980,L48)</f>
        <v>16100</v>
      </c>
    </row>
    <row r="100" spans="2:3" x14ac:dyDescent="0.45">
      <c r="B100" s="5" t="s">
        <v>256</v>
      </c>
      <c r="C100" s="40">
        <f>MAX(B101:B106)</f>
        <v>3241.5</v>
      </c>
    </row>
    <row r="101" spans="2:3" x14ac:dyDescent="0.45">
      <c r="B101" s="5" t="str">
        <f>IF(C99&lt;12450,0+(C99)*0.19,"")</f>
        <v/>
      </c>
      <c r="C101" s="5"/>
    </row>
    <row r="102" spans="2:3" x14ac:dyDescent="0.45">
      <c r="B102" s="5">
        <f>IF(AND(C99&gt;=12450,C99&lt;20200),2365.5+(C99-12450)*0.24,"")</f>
        <v>3241.5</v>
      </c>
      <c r="C102" s="5"/>
    </row>
    <row r="103" spans="2:3" x14ac:dyDescent="0.45">
      <c r="B103" s="5" t="str">
        <f>IF(AND(C99&gt;=20200,C99&lt;35200),4225.5+(C99-20200)*0.3,"")</f>
        <v/>
      </c>
      <c r="C103" s="5"/>
    </row>
    <row r="104" spans="2:3" x14ac:dyDescent="0.45">
      <c r="B104" s="5" t="str">
        <f>IF(AND(C99&gt;=35200,C99&lt;60000),8725.5+(C99-35200)*0.37,"")</f>
        <v/>
      </c>
      <c r="C104" s="5"/>
    </row>
    <row r="105" spans="2:3" x14ac:dyDescent="0.45">
      <c r="B105" s="5" t="str">
        <f>IF(AND(C99&gt;=60000,C99&lt;300000),17901.5+(C99-60000)*0.45,"")</f>
        <v/>
      </c>
      <c r="C105" s="5"/>
    </row>
    <row r="106" spans="2:3" x14ac:dyDescent="0.45">
      <c r="B106" s="5" t="str">
        <f>IF(C99&gt;300000,125901.5+(C99-300000)*0.47,"")</f>
        <v/>
      </c>
      <c r="C106" s="5"/>
    </row>
    <row r="107" spans="2:3" x14ac:dyDescent="0.45">
      <c r="B107" s="5" t="s">
        <v>257</v>
      </c>
      <c r="C107" s="41">
        <f>IF(C98&gt;C100,C98-C100,L60)</f>
        <v>5311.4220000000023</v>
      </c>
    </row>
    <row r="108" spans="2:3" x14ac:dyDescent="0.45">
      <c r="B108" s="5" t="s">
        <v>258</v>
      </c>
      <c r="C108" s="40">
        <f>MAX(B109:B115)</f>
        <v>8552.9220000000023</v>
      </c>
    </row>
    <row r="109" spans="2:3" x14ac:dyDescent="0.45">
      <c r="B109" s="5" t="str">
        <f>IF(L49&lt;12450,0+(L49)*0.19,"")</f>
        <v/>
      </c>
      <c r="C109" s="5"/>
    </row>
    <row r="110" spans="2:3" x14ac:dyDescent="0.45">
      <c r="B110" s="5" t="str">
        <f>IF(AND(L49&gt;=12450,L49&lt;20200),2365.5+(L49-12450)*0.24,"")</f>
        <v/>
      </c>
      <c r="C110" s="5"/>
    </row>
    <row r="111" spans="2:3" x14ac:dyDescent="0.45">
      <c r="B111" s="5">
        <f>IF(AND(L49&gt;=20200,L49&lt;35200),4225.5+(L49-20200)*0.3,"")</f>
        <v>8552.9220000000023</v>
      </c>
      <c r="C111" s="5"/>
    </row>
    <row r="112" spans="2:3" x14ac:dyDescent="0.45">
      <c r="B112" s="5" t="str">
        <f>IF(AND(L49&gt;=35200,L49&lt;60000),8725.5+(L49-35200)*0.37,"")</f>
        <v/>
      </c>
      <c r="C112" s="5"/>
    </row>
    <row r="113" spans="2:3" x14ac:dyDescent="0.45">
      <c r="B113" s="5" t="str">
        <f>IF(AND(L49&gt;=60000,L49&lt;300000),17901.5+(L49-60000)*0.45,"")</f>
        <v/>
      </c>
      <c r="C113" s="5"/>
    </row>
    <row r="114" spans="2:3" x14ac:dyDescent="0.45">
      <c r="B114" s="5" t="str">
        <f>IF(L49&gt;300000,125901.5+(L49-300000)*0.47,"")</f>
        <v/>
      </c>
      <c r="C114" s="5"/>
    </row>
    <row r="115" spans="2:3" x14ac:dyDescent="0.45">
      <c r="B115" s="5"/>
      <c r="C115" s="5"/>
    </row>
    <row r="116" spans="2:3" x14ac:dyDescent="0.45">
      <c r="B116" s="5"/>
      <c r="C116" s="5"/>
    </row>
    <row r="117" spans="2:3" x14ac:dyDescent="0.45">
      <c r="B117" s="5" t="s">
        <v>259</v>
      </c>
      <c r="C117" s="5"/>
    </row>
    <row r="118" spans="2:3" x14ac:dyDescent="0.45">
      <c r="B118" s="5" t="s">
        <v>261</v>
      </c>
      <c r="C118" s="5"/>
    </row>
    <row r="119" spans="2:3" x14ac:dyDescent="0.45">
      <c r="B119" s="5" t="s">
        <v>260</v>
      </c>
      <c r="C119" s="5"/>
    </row>
    <row r="120" spans="2:3" x14ac:dyDescent="0.45">
      <c r="B120" s="5">
        <f>IF(AND(L36&lt;=35200,C69=1,C36=1),(L36-(17270+C119+C120))*0.43,0)</f>
        <v>0</v>
      </c>
      <c r="C120" s="5"/>
    </row>
    <row r="121" spans="2:3" x14ac:dyDescent="0.45">
      <c r="B121" s="5">
        <f>IF(AND(L36&lt;=35200,C69=1,C36&gt;1),(L36-(18617+C119+C120))*0.43,0)</f>
        <v>0</v>
      </c>
      <c r="C121" s="5"/>
    </row>
    <row r="122" spans="2:3" x14ac:dyDescent="0.45">
      <c r="B122" s="5">
        <f>IF(AND(L36&lt;=35200,C69=2,C36=0),(L36-(16696+C119+C120))*0.43,0)</f>
        <v>0</v>
      </c>
      <c r="C122" s="5"/>
    </row>
    <row r="123" spans="2:3" x14ac:dyDescent="0.45">
      <c r="B123" s="5">
        <f>IF(AND(L36&lt;=35200,C69=2,C36=1),(L36-(17894+C119+C120))*0.43,0)</f>
        <v>0</v>
      </c>
      <c r="C123" s="5"/>
    </row>
    <row r="124" spans="2:3" x14ac:dyDescent="0.45">
      <c r="B124" s="5">
        <f>IF(AND(L36&lt;=35200,C69=2,C36&gt;1),(L36-(19241+C119+C120))*0.43,0)</f>
        <v>0</v>
      </c>
      <c r="C124" s="5"/>
    </row>
    <row r="125" spans="2:3" x14ac:dyDescent="0.45">
      <c r="B125" s="5">
        <f>IF(AND(L36&lt;=35200,C69=3,C36=0),(L36-(15000+C119+C120))*0.43,0)</f>
        <v>0</v>
      </c>
      <c r="C125" s="5"/>
    </row>
    <row r="126" spans="2:3" x14ac:dyDescent="0.45">
      <c r="B126" s="5">
        <f>IF(AND(L36&lt;=35200,C69=3,C36=1),(L36-(15599+C119+C120))*0.43,0)</f>
        <v>0</v>
      </c>
      <c r="C126" s="5"/>
    </row>
    <row r="127" spans="2:3" x14ac:dyDescent="0.45">
      <c r="B127" s="5">
        <f>IF(AND(L36&lt;=35200,C69=3,C36&gt;1),(L36-(16272+C119+C120))*0.43,0)</f>
        <v>0</v>
      </c>
      <c r="C127" s="5"/>
    </row>
    <row r="128" spans="2:3" x14ac:dyDescent="0.45">
      <c r="B128" s="5" t="s">
        <v>263</v>
      </c>
      <c r="C128" s="5" t="str">
        <f>IF(MAX(B120:B127)&gt;0,"Sí","No")</f>
        <v>No</v>
      </c>
    </row>
    <row r="129" spans="2:3" x14ac:dyDescent="0.45">
      <c r="B129" s="5" t="s">
        <v>264</v>
      </c>
      <c r="C129" s="5">
        <f>MAX(B120:B127)</f>
        <v>0</v>
      </c>
    </row>
    <row r="130" spans="2:3" x14ac:dyDescent="0.45">
      <c r="B130" s="5" t="s">
        <v>262</v>
      </c>
      <c r="C130" s="41">
        <f>IF(C128="No",C107,IF(C107&gt;C129,C129,C107))</f>
        <v>5311.4220000000023</v>
      </c>
    </row>
    <row r="131" spans="2:3" x14ac:dyDescent="0.45">
      <c r="B131" s="5"/>
      <c r="C131" s="5"/>
    </row>
    <row r="132" spans="2:3" x14ac:dyDescent="0.45">
      <c r="B132" s="5"/>
      <c r="C132" s="5"/>
    </row>
    <row r="133" spans="2:3" x14ac:dyDescent="0.45">
      <c r="B133" s="5"/>
      <c r="C133" s="5"/>
    </row>
    <row r="134" spans="2:3" x14ac:dyDescent="0.45">
      <c r="B134" s="5"/>
      <c r="C134" s="5"/>
    </row>
    <row r="135" spans="2:3" x14ac:dyDescent="0.45">
      <c r="B135" s="5"/>
      <c r="C135" s="5"/>
    </row>
    <row r="136" spans="2:3" x14ac:dyDescent="0.45">
      <c r="B136" s="5"/>
      <c r="C136" s="5"/>
    </row>
    <row r="137" spans="2:3" x14ac:dyDescent="0.45">
      <c r="B137" s="5"/>
      <c r="C137" s="5"/>
    </row>
    <row r="138" spans="2:3" x14ac:dyDescent="0.45">
      <c r="B138" s="5"/>
      <c r="C138" s="5"/>
    </row>
  </sheetData>
  <sheetProtection algorithmName="SHA-512" hashValue="536W+5SyJ/mTFpcnkr6LMQ9/fhzVnuM2wRI/XUJPpUUdaRO4yvleOirXTGsAP4BOlo+OsV2xkI5qJP8VFAXw5A==" saltValue="XYYRxf84xfv7iHWYtZ79lA==" spinCount="100000" sheet="1" objects="1" scenarios="1"/>
  <mergeCells count="12">
    <mergeCell ref="M4:M5"/>
    <mergeCell ref="B29:C29"/>
    <mergeCell ref="B70:C70"/>
    <mergeCell ref="B3:C3"/>
    <mergeCell ref="J3:K3"/>
    <mergeCell ref="J4:K5"/>
    <mergeCell ref="L4:L5"/>
    <mergeCell ref="B32:C32"/>
    <mergeCell ref="B42:B44"/>
    <mergeCell ref="C42:C44"/>
    <mergeCell ref="B45:B47"/>
    <mergeCell ref="C45:C47"/>
  </mergeCells>
  <dataValidations count="18">
    <dataValidation type="list" allowBlank="1" showInputMessage="1" showErrorMessage="1" sqref="C11">
      <formula1>$D$5:$D$6</formula1>
    </dataValidation>
    <dataValidation type="whole" allowBlank="1" showInputMessage="1" showErrorMessage="1" sqref="C6:C10">
      <formula1>0</formula1>
      <formula2>14</formula2>
    </dataValidation>
    <dataValidation type="whole" allowBlank="1" showInputMessage="1" showErrorMessage="1" sqref="C12">
      <formula1>0</formula1>
      <formula2>5</formula2>
    </dataValidation>
    <dataValidation type="decimal" allowBlank="1" showInputMessage="1" showErrorMessage="1" sqref="C4:C5">
      <formula1>0</formula1>
      <formula2>100</formula2>
    </dataValidation>
    <dataValidation type="list" allowBlank="1" showInputMessage="1" showErrorMessage="1" sqref="C13">
      <formula1>$D$13:$D$20</formula1>
    </dataValidation>
    <dataValidation type="list" allowBlank="1" showInputMessage="1" showErrorMessage="1" sqref="C14">
      <formula1>$F$13:$F$18</formula1>
    </dataValidation>
    <dataValidation type="list" allowBlank="1" showInputMessage="1" showErrorMessage="1" sqref="C27 C48 C67 C62 C57 C52 C40 C38 C33 C15:C25">
      <formula1>$H$13:$H$14</formula1>
    </dataValidation>
    <dataValidation type="whole" allowBlank="1" showInputMessage="1" showErrorMessage="1" sqref="C26">
      <formula1>0</formula1>
      <formula2>30</formula2>
    </dataValidation>
    <dataValidation type="whole" allowBlank="1" showInputMessage="1" showErrorMessage="1" sqref="C28">
      <formula1>0</formula1>
      <formula2>10000</formula2>
    </dataValidation>
    <dataValidation type="whole" allowBlank="1" showInputMessage="1" showErrorMessage="1" sqref="C31">
      <formula1>1980</formula1>
      <formula2>2023</formula2>
    </dataValidation>
    <dataValidation type="list" allowBlank="1" showInputMessage="1" showErrorMessage="1" sqref="C30">
      <formula1>$A$36:$A$38</formula1>
    </dataValidation>
    <dataValidation type="whole" allowBlank="1" showInputMessage="1" showErrorMessage="1" sqref="C36">
      <formula1>0</formula1>
      <formula2>100</formula2>
    </dataValidation>
    <dataValidation type="whole" allowBlank="1" showInputMessage="1" showErrorMessage="1" sqref="C37 C41:C42">
      <formula1>0</formula1>
      <formula2>C36</formula2>
    </dataValidation>
    <dataValidation type="whole" allowBlank="1" showInputMessage="1" showErrorMessage="1" sqref="C50 C55 C60 C65">
      <formula1>18</formula1>
      <formula2>130</formula2>
    </dataValidation>
    <dataValidation type="whole" allowBlank="1" showInputMessage="1" showErrorMessage="1" sqref="C53 C58 C63 C68">
      <formula1>0</formula1>
      <formula2>20</formula2>
    </dataValidation>
    <dataValidation type="whole" allowBlank="1" showInputMessage="1" showErrorMessage="1" sqref="C45">
      <formula1>0</formula1>
      <formula2>C41</formula2>
    </dataValidation>
    <dataValidation type="list" allowBlank="1" showInputMessage="1" showErrorMessage="1" sqref="C39 C66 C56 C51 C61">
      <formula1>$A$39:$A$43</formula1>
    </dataValidation>
    <dataValidation type="list" allowBlank="1" showInputMessage="1" showErrorMessage="1" sqref="B70">
      <formula1>$A$69:$A$71</formula1>
    </dataValidation>
  </dataValidations>
  <hyperlinks>
    <hyperlink ref="B2" location="Inicio!A1" display="Ir a inicio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6"/>
  <sheetViews>
    <sheetView showRowColHeaders="0" zoomScaleNormal="100" workbookViewId="0">
      <selection activeCell="B2" sqref="B2"/>
    </sheetView>
  </sheetViews>
  <sheetFormatPr baseColWidth="10" defaultRowHeight="14.25" x14ac:dyDescent="0.45"/>
  <cols>
    <col min="1" max="1" width="0.53125" style="4" customWidth="1"/>
    <col min="2" max="2" width="55.86328125" style="4" customWidth="1"/>
    <col min="3" max="3" width="26.19921875" style="4" customWidth="1"/>
    <col min="4" max="4" width="3.265625" style="24" customWidth="1"/>
    <col min="5" max="5" width="0.86328125" style="112" customWidth="1"/>
    <col min="6" max="6" width="1.06640625" style="112" customWidth="1"/>
    <col min="7" max="7" width="0.59765625" style="112" customWidth="1"/>
    <col min="8" max="8" width="1.59765625" style="112" hidden="1" customWidth="1"/>
    <col min="9" max="9" width="0.3984375" style="112" hidden="1" customWidth="1"/>
    <col min="10" max="10" width="6.33203125" style="112" customWidth="1"/>
    <col min="11" max="11" width="45.1328125" style="4" customWidth="1"/>
    <col min="12" max="12" width="17.73046875" style="4" customWidth="1"/>
    <col min="13" max="13" width="17.9296875" style="4" customWidth="1"/>
    <col min="14" max="14" width="5.3984375" style="4" customWidth="1"/>
    <col min="15" max="15" width="4.73046875" style="4" customWidth="1"/>
    <col min="16" max="16384" width="10.6640625" style="4"/>
  </cols>
  <sheetData>
    <row r="1" spans="1:29" ht="118.5" customHeight="1" thickBot="1" x14ac:dyDescent="0.5">
      <c r="O1"/>
    </row>
    <row r="2" spans="1:29" ht="19.149999999999999" customHeight="1" thickBot="1" x14ac:dyDescent="0.5">
      <c r="B2" s="96" t="s">
        <v>293</v>
      </c>
      <c r="L2" s="33" t="s">
        <v>241</v>
      </c>
      <c r="M2" s="34" t="s">
        <v>172</v>
      </c>
      <c r="Q2" s="24"/>
      <c r="R2" s="24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8.25" customHeight="1" thickBot="1" x14ac:dyDescent="0.7">
      <c r="B3" s="158" t="s">
        <v>240</v>
      </c>
      <c r="C3" s="159"/>
      <c r="J3" s="160" t="s">
        <v>227</v>
      </c>
      <c r="K3" s="161"/>
      <c r="L3" s="84">
        <f>L4-SUM(L26:L31)</f>
        <v>2716.253960498535</v>
      </c>
      <c r="M3" s="84">
        <f>M4-SUM(M26:M31)</f>
        <v>2651.8488590087923</v>
      </c>
      <c r="Q3" s="24"/>
      <c r="R3" s="24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8.399999999999999" customHeight="1" thickBot="1" x14ac:dyDescent="0.5">
      <c r="A4" s="24"/>
      <c r="B4" s="26" t="s">
        <v>274</v>
      </c>
      <c r="C4" s="49">
        <v>100</v>
      </c>
      <c r="D4" s="50" t="s">
        <v>140</v>
      </c>
      <c r="J4" s="162" t="s">
        <v>121</v>
      </c>
      <c r="K4" s="184"/>
      <c r="L4" s="152">
        <f>SUM(L6:L25)</f>
        <v>4089.98</v>
      </c>
      <c r="M4" s="152">
        <f>SUM(M6:M25)</f>
        <v>3591.86</v>
      </c>
      <c r="Q4" s="24"/>
      <c r="R4" s="24"/>
      <c r="S4" s="5"/>
      <c r="T4" s="5" t="s">
        <v>122</v>
      </c>
      <c r="U4" s="5"/>
      <c r="V4" s="5">
        <f>$C$6*Datos!G15</f>
        <v>0</v>
      </c>
      <c r="W4" s="5">
        <f>$C$6*Datos!G16</f>
        <v>0</v>
      </c>
      <c r="X4" s="5"/>
      <c r="Y4" s="5"/>
      <c r="Z4" s="5"/>
      <c r="AA4" s="5"/>
      <c r="AB4" s="5"/>
      <c r="AC4" s="5"/>
    </row>
    <row r="5" spans="1:29" ht="18.399999999999999" customHeight="1" thickBot="1" x14ac:dyDescent="0.5">
      <c r="A5" s="24"/>
      <c r="B5" s="26" t="s">
        <v>163</v>
      </c>
      <c r="C5" s="48"/>
      <c r="D5" s="113" t="s">
        <v>317</v>
      </c>
      <c r="E5" s="5"/>
      <c r="F5" s="5"/>
      <c r="G5" s="5"/>
      <c r="H5" s="5"/>
      <c r="I5" s="5"/>
      <c r="J5" s="164"/>
      <c r="K5" s="185"/>
      <c r="L5" s="153"/>
      <c r="M5" s="153"/>
      <c r="Q5" s="24"/>
      <c r="R5" s="24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x14ac:dyDescent="0.45">
      <c r="A6" s="24"/>
      <c r="B6" s="6" t="str">
        <f>T4</f>
        <v>Trienios A1</v>
      </c>
      <c r="C6" s="17">
        <v>0</v>
      </c>
      <c r="D6" s="80" t="s">
        <v>316</v>
      </c>
      <c r="E6" s="5"/>
      <c r="F6" s="5"/>
      <c r="G6" s="5"/>
      <c r="H6" s="5"/>
      <c r="I6" s="5"/>
      <c r="J6" s="42" t="s">
        <v>118</v>
      </c>
      <c r="K6" s="68"/>
      <c r="L6" s="60">
        <f>ROUND((C4/100)*Datos!G4,2)</f>
        <v>1300.8800000000001</v>
      </c>
      <c r="M6" s="60">
        <f>ROUND((C4/100)*Datos!G5,2)</f>
        <v>802.76</v>
      </c>
      <c r="Q6" s="24"/>
      <c r="R6" s="24"/>
      <c r="S6" s="5"/>
      <c r="T6" s="5" t="s">
        <v>123</v>
      </c>
      <c r="U6" s="5"/>
      <c r="V6" s="5">
        <f>$C$7*Datos!G17</f>
        <v>0</v>
      </c>
      <c r="W6" s="5">
        <f>$C$7*Datos!G18</f>
        <v>0</v>
      </c>
      <c r="X6" s="5"/>
      <c r="Y6" s="5"/>
      <c r="Z6" s="5"/>
      <c r="AA6" s="5"/>
      <c r="AB6" s="5"/>
      <c r="AC6" s="5"/>
    </row>
    <row r="7" spans="1:29" x14ac:dyDescent="0.45">
      <c r="A7" s="24"/>
      <c r="B7" s="8" t="str">
        <f t="shared" ref="B7:B10" si="0">T6</f>
        <v>Trienios A2</v>
      </c>
      <c r="C7" s="18">
        <v>0</v>
      </c>
      <c r="D7" s="80" t="s">
        <v>136</v>
      </c>
      <c r="E7" s="5"/>
      <c r="F7" s="5"/>
      <c r="G7" s="5"/>
      <c r="H7" s="5"/>
      <c r="I7" s="5"/>
      <c r="J7" s="42" t="s">
        <v>119</v>
      </c>
      <c r="K7" s="121"/>
      <c r="L7" s="60">
        <f>ROUND(($C$4/100)*Datos!G8,2)</f>
        <v>819</v>
      </c>
      <c r="M7" s="60">
        <f>L7</f>
        <v>819</v>
      </c>
      <c r="Q7" s="24"/>
      <c r="R7" s="24"/>
      <c r="S7" s="5"/>
      <c r="T7" s="5" t="s">
        <v>124</v>
      </c>
      <c r="U7" s="5"/>
      <c r="V7" s="5">
        <f>$C$8*Datos!G19</f>
        <v>0</v>
      </c>
      <c r="W7" s="5">
        <f>$C$8*Datos!G20</f>
        <v>0</v>
      </c>
      <c r="X7" s="5"/>
      <c r="Y7" s="5"/>
      <c r="Z7" s="5"/>
      <c r="AA7" s="5"/>
      <c r="AB7" s="5"/>
      <c r="AC7" s="5"/>
    </row>
    <row r="8" spans="1:29" x14ac:dyDescent="0.45">
      <c r="A8" s="24"/>
      <c r="B8" s="8" t="str">
        <f t="shared" si="0"/>
        <v>Trienios C1</v>
      </c>
      <c r="C8" s="18">
        <v>0</v>
      </c>
      <c r="D8" s="80">
        <v>1</v>
      </c>
      <c r="E8" s="5"/>
      <c r="F8" s="5"/>
      <c r="G8" s="5"/>
      <c r="H8" s="5"/>
      <c r="I8" s="5"/>
      <c r="J8" s="42" t="s">
        <v>120</v>
      </c>
      <c r="K8" s="68"/>
      <c r="L8" s="60">
        <f>ROUND(($C$4/100)*Datos!G11,2)</f>
        <v>942.6</v>
      </c>
      <c r="M8" s="60">
        <f>L8</f>
        <v>942.6</v>
      </c>
      <c r="Q8" s="24"/>
      <c r="R8" s="24"/>
      <c r="S8" s="5"/>
      <c r="T8" s="5" t="s">
        <v>125</v>
      </c>
      <c r="U8" s="5"/>
      <c r="V8" s="5">
        <f>$C$9*Datos!G21</f>
        <v>0</v>
      </c>
      <c r="W8" s="5">
        <f>$C$9*Datos!G22</f>
        <v>0</v>
      </c>
      <c r="X8" s="5"/>
      <c r="Y8" s="5"/>
      <c r="Z8" s="5"/>
      <c r="AA8" s="5"/>
      <c r="AB8" s="5"/>
      <c r="AC8" s="5"/>
    </row>
    <row r="9" spans="1:29" x14ac:dyDescent="0.45">
      <c r="A9" s="24"/>
      <c r="B9" s="8" t="str">
        <f t="shared" si="0"/>
        <v>Trienios C2</v>
      </c>
      <c r="C9" s="18">
        <v>0</v>
      </c>
      <c r="D9" s="80">
        <v>2</v>
      </c>
      <c r="E9" s="5"/>
      <c r="F9" s="5"/>
      <c r="G9" s="5"/>
      <c r="H9" s="5"/>
      <c r="I9" s="5"/>
      <c r="J9" s="42" t="s">
        <v>126</v>
      </c>
      <c r="K9" s="68"/>
      <c r="L9" s="60">
        <f>IF(SUM(C6:C10)&gt;0,ROUND(V12*C4/100,2),0)</f>
        <v>0</v>
      </c>
      <c r="M9" s="60">
        <f>W12</f>
        <v>0</v>
      </c>
      <c r="Q9" s="24"/>
      <c r="R9" s="24"/>
      <c r="S9" s="5"/>
      <c r="T9" s="5" t="s">
        <v>127</v>
      </c>
      <c r="U9" s="5"/>
      <c r="V9" s="5">
        <f>$C$10*Datos!G23</f>
        <v>0</v>
      </c>
      <c r="W9" s="5">
        <f>$C$10*Datos!G24</f>
        <v>0</v>
      </c>
      <c r="X9" s="5"/>
      <c r="Y9" s="5"/>
      <c r="Z9" s="5"/>
      <c r="AA9" s="5"/>
      <c r="AB9" s="5"/>
      <c r="AC9" s="5"/>
    </row>
    <row r="10" spans="1:29" ht="14.65" thickBot="1" x14ac:dyDescent="0.5">
      <c r="A10" s="24"/>
      <c r="B10" s="12" t="str">
        <f t="shared" si="0"/>
        <v>Trienios agrupaciones especiales</v>
      </c>
      <c r="C10" s="19">
        <v>0</v>
      </c>
      <c r="D10" s="80" t="s">
        <v>318</v>
      </c>
      <c r="E10" s="5"/>
      <c r="F10" s="5"/>
      <c r="G10" s="5"/>
      <c r="H10" s="5"/>
      <c r="I10" s="5"/>
      <c r="J10" s="42" t="s">
        <v>153</v>
      </c>
      <c r="K10" s="68"/>
      <c r="L10" s="60">
        <f>IF(C12&gt;0,ROUND(N13*C4/100,2),0)</f>
        <v>0</v>
      </c>
      <c r="M10" s="60">
        <f>L10</f>
        <v>0</v>
      </c>
      <c r="Q10" s="24"/>
      <c r="R10" s="24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4.65" thickBot="1" x14ac:dyDescent="0.5">
      <c r="A11" s="5"/>
      <c r="B11" s="27" t="s">
        <v>295</v>
      </c>
      <c r="C11" s="100"/>
      <c r="D11" s="5"/>
      <c r="E11" s="5"/>
      <c r="F11" s="5"/>
      <c r="G11" s="5"/>
      <c r="H11" s="5"/>
      <c r="I11" s="5"/>
      <c r="J11" s="42" t="s">
        <v>294</v>
      </c>
      <c r="K11" s="68"/>
      <c r="L11" s="60">
        <f>ROUND(($C$4/100)*Datos!G82,2)</f>
        <v>1027.5</v>
      </c>
      <c r="M11" s="60">
        <f t="shared" ref="M11:M25" si="1">L11</f>
        <v>1027.5</v>
      </c>
      <c r="Q11" s="24"/>
      <c r="R11" s="24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4.65" thickBot="1" x14ac:dyDescent="0.5">
      <c r="A12" s="5"/>
      <c r="B12" s="27" t="s">
        <v>129</v>
      </c>
      <c r="C12" s="20">
        <v>0</v>
      </c>
      <c r="D12" s="5" t="str">
        <f>IF(OR(C13=D14,C13=D18,C13=D19,C13=D20),D14,"")</f>
        <v/>
      </c>
      <c r="E12" s="5"/>
      <c r="F12" s="5"/>
      <c r="G12" s="5"/>
      <c r="H12" s="5"/>
      <c r="I12" s="5"/>
      <c r="J12" s="101" t="s">
        <v>110</v>
      </c>
      <c r="K12" s="68"/>
      <c r="L12" s="60">
        <f>IF(C11=J12,ROUND(($C$4/100)*Datos!G79,2),0)</f>
        <v>0</v>
      </c>
      <c r="M12" s="60">
        <f t="shared" si="1"/>
        <v>0</v>
      </c>
      <c r="Q12" s="24"/>
      <c r="R12" s="24"/>
      <c r="S12" s="5"/>
      <c r="T12" s="5" t="s">
        <v>128</v>
      </c>
      <c r="U12" s="5"/>
      <c r="V12" s="5">
        <f>SUM(V4:V9)</f>
        <v>0</v>
      </c>
      <c r="W12" s="5">
        <f>SUM(W4:W9)</f>
        <v>0</v>
      </c>
      <c r="X12" s="5"/>
      <c r="Y12" s="5"/>
      <c r="Z12" s="5"/>
      <c r="AA12" s="5"/>
      <c r="AB12" s="5"/>
      <c r="AC12" s="5"/>
    </row>
    <row r="13" spans="1:29" ht="14.75" customHeight="1" thickBot="1" x14ac:dyDescent="0.5">
      <c r="A13" s="5"/>
      <c r="B13" s="27" t="s">
        <v>326</v>
      </c>
      <c r="C13" s="20" t="s">
        <v>141</v>
      </c>
      <c r="D13" s="5" t="s">
        <v>141</v>
      </c>
      <c r="E13" s="5"/>
      <c r="F13" s="5" t="s">
        <v>27</v>
      </c>
      <c r="G13" s="5" t="s">
        <v>136</v>
      </c>
      <c r="H13" s="5" t="s">
        <v>143</v>
      </c>
      <c r="I13" s="5"/>
      <c r="J13" s="101" t="s">
        <v>111</v>
      </c>
      <c r="K13" s="68"/>
      <c r="L13" s="106">
        <f>IF(C11=J13,ROUND(($C$4/100)*Datos!G80,2),0)</f>
        <v>0</v>
      </c>
      <c r="M13" s="60">
        <f t="shared" si="1"/>
        <v>0</v>
      </c>
      <c r="N13" s="5">
        <f>IF(C12=1,Datos!J26,IF(C12=2,Datos!J27,IF(C12=3,Datos!J28,IF(C12=4,Datos!J29,IF(C12=5,Datos!J30,0)))))</f>
        <v>0</v>
      </c>
      <c r="Q13" s="24"/>
      <c r="R13" s="24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4.75" customHeight="1" thickBot="1" x14ac:dyDescent="0.5">
      <c r="A14" s="5"/>
      <c r="B14" s="154" t="s">
        <v>312</v>
      </c>
      <c r="C14" s="155"/>
      <c r="D14" s="5" t="s">
        <v>132</v>
      </c>
      <c r="E14" s="5"/>
      <c r="F14" s="5" t="s">
        <v>28</v>
      </c>
      <c r="G14" s="5" t="s">
        <v>137</v>
      </c>
      <c r="H14" s="5" t="s">
        <v>144</v>
      </c>
      <c r="I14" s="5"/>
      <c r="J14" s="101" t="s">
        <v>108</v>
      </c>
      <c r="K14" s="68"/>
      <c r="L14" s="60">
        <f>IF(C11=J14,ROUND(($C$4/100)*Datos!G81,2),0)</f>
        <v>0</v>
      </c>
      <c r="M14" s="60">
        <f t="shared" si="1"/>
        <v>0</v>
      </c>
      <c r="Q14" s="24"/>
      <c r="R14" s="24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4.2" customHeight="1" thickBot="1" x14ac:dyDescent="0.5">
      <c r="A15" s="5"/>
      <c r="B15" s="27" t="s">
        <v>314</v>
      </c>
      <c r="C15" s="114"/>
      <c r="D15" s="5" t="s">
        <v>133</v>
      </c>
      <c r="E15" s="5"/>
      <c r="F15" s="5" t="s">
        <v>29</v>
      </c>
      <c r="G15" s="5" t="s">
        <v>138</v>
      </c>
      <c r="H15" s="5"/>
      <c r="I15" s="5"/>
      <c r="J15" s="42" t="s">
        <v>279</v>
      </c>
      <c r="K15" s="68"/>
      <c r="L15" s="60">
        <f>MAX(I133:I148)</f>
        <v>0</v>
      </c>
      <c r="M15" s="60">
        <f t="shared" si="1"/>
        <v>0</v>
      </c>
      <c r="Q15" s="24"/>
      <c r="R15" s="24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4.2" customHeight="1" thickBot="1" x14ac:dyDescent="0.5">
      <c r="A16" s="5"/>
      <c r="B16" s="27" t="s">
        <v>315</v>
      </c>
      <c r="C16" s="20"/>
      <c r="D16" s="5" t="s">
        <v>134</v>
      </c>
      <c r="E16" s="5"/>
      <c r="F16" s="5" t="s">
        <v>30</v>
      </c>
      <c r="G16" s="25"/>
      <c r="H16" s="5" t="s">
        <v>144</v>
      </c>
      <c r="I16" s="5"/>
      <c r="J16" s="42"/>
      <c r="K16" s="68"/>
      <c r="L16" s="60"/>
      <c r="M16" s="60"/>
      <c r="Q16" s="24"/>
      <c r="R16" s="24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4.2" customHeight="1" thickBot="1" x14ac:dyDescent="0.5">
      <c r="A17" s="5"/>
      <c r="B17" s="27" t="s">
        <v>313</v>
      </c>
      <c r="C17" s="21"/>
      <c r="D17" s="5" t="s">
        <v>142</v>
      </c>
      <c r="E17" s="5"/>
      <c r="F17" s="5" t="s">
        <v>31</v>
      </c>
      <c r="G17" s="5"/>
      <c r="H17" s="5" t="s">
        <v>145</v>
      </c>
      <c r="I17" s="5"/>
      <c r="J17" s="61"/>
      <c r="K17" s="102"/>
      <c r="L17" s="62"/>
      <c r="M17" s="62"/>
      <c r="Q17" s="24"/>
      <c r="R17" s="24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14.2" hidden="1" customHeight="1" x14ac:dyDescent="0.45">
      <c r="A18" s="5"/>
      <c r="B18" s="103"/>
      <c r="C18" s="104"/>
      <c r="D18" s="5" t="s">
        <v>281</v>
      </c>
      <c r="E18" s="5"/>
      <c r="F18" s="5" t="s">
        <v>32</v>
      </c>
      <c r="G18" s="5"/>
      <c r="H18" s="5" t="s">
        <v>146</v>
      </c>
      <c r="I18" s="5"/>
      <c r="J18" s="43"/>
      <c r="K18" s="43"/>
      <c r="L18" s="183"/>
      <c r="M18" s="183"/>
      <c r="Q18" s="24"/>
      <c r="R18" s="24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14.2" hidden="1" customHeight="1" x14ac:dyDescent="0.45">
      <c r="A19" s="5"/>
      <c r="B19" s="103"/>
      <c r="C19" s="104"/>
      <c r="D19" s="5" t="s">
        <v>282</v>
      </c>
      <c r="E19" s="5"/>
      <c r="F19" s="5"/>
      <c r="G19" s="5"/>
      <c r="H19" s="5" t="s">
        <v>147</v>
      </c>
      <c r="I19" s="5"/>
      <c r="J19" s="43"/>
      <c r="K19" s="43"/>
      <c r="L19" s="183"/>
      <c r="M19" s="183"/>
      <c r="Q19" s="24"/>
      <c r="R19" s="24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14.2" hidden="1" customHeight="1" x14ac:dyDescent="0.45">
      <c r="A20" s="5"/>
      <c r="B20" s="103"/>
      <c r="C20" s="104"/>
      <c r="D20" s="5" t="s">
        <v>283</v>
      </c>
      <c r="E20" s="5"/>
      <c r="F20" s="5"/>
      <c r="G20" s="5"/>
      <c r="H20" s="5"/>
      <c r="I20" s="5"/>
      <c r="J20" s="43"/>
      <c r="K20" s="43"/>
      <c r="L20" s="183">
        <f>IF(C15="Sí",ROUND(Datos!G91*Inspectores!C4/100,2),0)</f>
        <v>0</v>
      </c>
      <c r="M20" s="183">
        <f t="shared" si="1"/>
        <v>0</v>
      </c>
      <c r="Q20" s="24"/>
      <c r="R20" s="24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14.2" hidden="1" customHeight="1" thickBot="1" x14ac:dyDescent="0.45">
      <c r="A21" s="5"/>
      <c r="B21" s="103"/>
      <c r="C21" s="104"/>
      <c r="D21" s="5">
        <f>IF(C13=D18,0.25,IF(C13=D19,0.4,IF(C13=D20,0.6,0)))</f>
        <v>0</v>
      </c>
      <c r="E21" s="5"/>
      <c r="F21" s="5"/>
      <c r="G21" s="5"/>
      <c r="H21" s="5"/>
      <c r="I21" s="5"/>
      <c r="J21" s="43"/>
      <c r="K21" s="43"/>
      <c r="L21" s="183"/>
      <c r="M21" s="183"/>
      <c r="Q21" s="24"/>
      <c r="R21" s="24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14.2" hidden="1" customHeight="1" x14ac:dyDescent="0.45">
      <c r="A22" s="5"/>
      <c r="B22" s="103"/>
      <c r="C22" s="104"/>
      <c r="D22" s="5"/>
      <c r="E22" s="5"/>
      <c r="F22" s="5"/>
      <c r="G22" s="5"/>
      <c r="H22" s="5"/>
      <c r="I22" s="5"/>
      <c r="J22" s="43"/>
      <c r="K22" s="43"/>
      <c r="L22" s="183">
        <f>IF(C23="Sí",ROUND(C4*SUM(D23:D25)/100,2),0)</f>
        <v>0</v>
      </c>
      <c r="M22" s="183">
        <f>L22</f>
        <v>0</v>
      </c>
      <c r="Q22" s="24"/>
      <c r="R22" s="24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14.2" hidden="1" customHeight="1" x14ac:dyDescent="0.45">
      <c r="A23" s="5"/>
      <c r="B23" s="103"/>
      <c r="C23" s="104"/>
      <c r="D23" s="5">
        <f>IF(C23="No",0,Datos!G102)</f>
        <v>34.04</v>
      </c>
      <c r="E23" s="5"/>
      <c r="F23" s="5"/>
      <c r="G23" s="5"/>
      <c r="H23" s="5"/>
      <c r="I23" s="5"/>
      <c r="J23" s="43"/>
      <c r="K23" s="43"/>
      <c r="L23" s="183">
        <f>IF(C26="Sí",ROUND(C4*MIN(D27:D36)/100,2),0)</f>
        <v>0</v>
      </c>
      <c r="M23" s="183">
        <f>L23</f>
        <v>0</v>
      </c>
      <c r="Q23" s="24"/>
      <c r="R23" s="24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4.2" hidden="1" customHeight="1" x14ac:dyDescent="0.45">
      <c r="A24" s="5"/>
      <c r="B24" s="105"/>
      <c r="C24" s="104"/>
      <c r="D24" s="5">
        <f>IF(AND(C23="Sí",C24="Sí"),Datos!G103,0)</f>
        <v>0</v>
      </c>
      <c r="E24" s="5"/>
      <c r="F24" s="5"/>
      <c r="G24" s="5"/>
      <c r="H24" s="5"/>
      <c r="I24" s="5"/>
      <c r="J24" s="43"/>
      <c r="K24" s="120"/>
      <c r="L24" s="183">
        <f>IF(D21&gt;0,ROUND(C4*MAX(E27:E33,G27:G33)*D21/100,2),0)</f>
        <v>0</v>
      </c>
      <c r="M24" s="183">
        <f>L24</f>
        <v>0</v>
      </c>
      <c r="Q24" s="24"/>
      <c r="R24" s="24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14.2" hidden="1" customHeight="1" thickBot="1" x14ac:dyDescent="0.45">
      <c r="A25" s="5"/>
      <c r="B25" s="105"/>
      <c r="C25" s="104"/>
      <c r="D25" s="5">
        <f>IF(C23="Sí",C25*Datos!G104,0)</f>
        <v>0</v>
      </c>
      <c r="E25" s="5"/>
      <c r="F25" s="5"/>
      <c r="G25" s="5"/>
      <c r="H25" s="5"/>
      <c r="I25" s="5"/>
      <c r="J25" s="43"/>
      <c r="K25" s="120"/>
      <c r="L25" s="183">
        <f>IF(C21="Sí",ROUND(Datos!G92*C4/100,2),0)</f>
        <v>0</v>
      </c>
      <c r="M25" s="183">
        <f t="shared" si="1"/>
        <v>0</v>
      </c>
      <c r="Q25" s="24"/>
      <c r="R25" s="24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14.2" customHeight="1" x14ac:dyDescent="0.45">
      <c r="A26" s="5"/>
      <c r="B26" s="103"/>
      <c r="C26" s="104"/>
      <c r="D26" s="5"/>
      <c r="E26" s="5" t="s">
        <v>131</v>
      </c>
      <c r="F26" s="5" t="s">
        <v>160</v>
      </c>
      <c r="G26" s="5" t="s">
        <v>286</v>
      </c>
      <c r="H26" s="5" t="s">
        <v>287</v>
      </c>
      <c r="I26" s="5"/>
      <c r="J26" s="186" t="s">
        <v>168</v>
      </c>
      <c r="K26" s="187"/>
      <c r="L26" s="47"/>
      <c r="M26" s="47"/>
      <c r="Q26" s="24"/>
      <c r="R26" s="24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14.2" customHeight="1" x14ac:dyDescent="0.45">
      <c r="A27" s="5"/>
      <c r="B27" s="105"/>
      <c r="C27" s="104"/>
      <c r="D27" s="5">
        <f>IF($C$27&lt;=50,Datos!G107,"")</f>
        <v>16.559999999999999</v>
      </c>
      <c r="E27" s="5" t="str">
        <f>IF(AND(C11=D5,$D12=$D$14,$C$14=F13),Datos!G64,"")</f>
        <v/>
      </c>
      <c r="F27" s="5" t="str">
        <f>IF(AND(OR($C$13=$D$15,$C$13=$D$16),$C$14=F13,C11=D5),Datos!G68,"")</f>
        <v/>
      </c>
      <c r="G27" s="5" t="str">
        <f>IF(AND(C11=D6,$D12=$D$14,$C$14=F13),Datos!G32,"")</f>
        <v/>
      </c>
      <c r="H27" s="5" t="str">
        <f>IF(AND(OR($C$13=$D$15,$C$13=$D$16),$C$14=F13,C11=D6),Datos!G38,"")</f>
        <v/>
      </c>
      <c r="I27" s="5"/>
      <c r="J27" s="42" t="s">
        <v>237</v>
      </c>
      <c r="K27" s="68"/>
      <c r="L27" s="22">
        <f>IF(OR(C29="Funcionario/a de carrera",C29="Funcionario/a en prácticas"),51.68,0)</f>
        <v>0</v>
      </c>
      <c r="M27" s="53">
        <f>L27</f>
        <v>0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4.2" customHeight="1" thickBot="1" x14ac:dyDescent="0.5">
      <c r="A28" s="5"/>
      <c r="B28" s="154" t="s">
        <v>239</v>
      </c>
      <c r="C28" s="155"/>
      <c r="D28" s="5">
        <f>IF($C$27&lt;=100,Datos!G108,"")</f>
        <v>33.119999999999997</v>
      </c>
      <c r="E28" s="5" t="str">
        <f>IF(AND(C11=D5,$D$12=$D$14,$C$14=F14),Datos!G65,"")</f>
        <v/>
      </c>
      <c r="F28" s="5" t="str">
        <f>IF(AND(OR($C$13=$D$15,$C$13=$D$16),$C$14=F14,C11=D5),Datos!G69,"")</f>
        <v/>
      </c>
      <c r="G28" s="5" t="str">
        <f>IF(AND(C11=D6,$D12=$D$14,$C$14=F14),Datos!G33,"")</f>
        <v/>
      </c>
      <c r="H28" s="5" t="str">
        <f>IF(AND(OR($C$13=$D$15,$C$13=$D$16),$C$14=F14,C11=D6),Datos!G39,"")</f>
        <v/>
      </c>
      <c r="I28" s="5"/>
      <c r="J28" s="42" t="s">
        <v>238</v>
      </c>
      <c r="K28" s="121"/>
      <c r="L28" s="22">
        <f>IF(AND(L27&gt;0,C30&lt;2011,C30&gt;0),118.04,0)</f>
        <v>0</v>
      </c>
      <c r="M28" s="53">
        <f>L28</f>
        <v>0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4.65" thickBot="1" x14ac:dyDescent="0.5">
      <c r="A29" s="5"/>
      <c r="B29" s="27" t="s">
        <v>164</v>
      </c>
      <c r="C29" s="20" t="s">
        <v>167</v>
      </c>
      <c r="D29" s="5">
        <f>IF($C$27&lt;=150,Datos!G109,"")</f>
        <v>49.68</v>
      </c>
      <c r="E29" s="5" t="str">
        <f>IF(AND(C11=D5,$D$12=$D$14,$C$14=F15),Datos!G66,"")</f>
        <v/>
      </c>
      <c r="F29" s="5" t="str">
        <f>IF(AND(OR($C$13=$D$15,$C$13=$D$16),$C$14=F15,C11=D5),Datos!G70,"")</f>
        <v/>
      </c>
      <c r="G29" s="5" t="str">
        <f>IF(AND(C11=D6,$D12=$D$14,$C$14=F15),Datos!G34,"")</f>
        <v/>
      </c>
      <c r="H29" s="5" t="str">
        <f>IF(AND(OR($C$13=$D$15,$C$13=$D$16),$C$14=F15,C11=D6),Datos!G40,"")</f>
        <v/>
      </c>
      <c r="I29" s="5"/>
      <c r="J29" s="42" t="s">
        <v>169</v>
      </c>
      <c r="K29" s="68"/>
      <c r="L29" s="22">
        <f>IF(OR(C29=A36,AND(C29=A35,C30&gt;=2011)),(L4+(M4/6))*L68,0)</f>
        <v>0</v>
      </c>
      <c r="M29" s="22">
        <v>0</v>
      </c>
      <c r="P29" s="5"/>
      <c r="Q29" s="5"/>
      <c r="R29" s="5"/>
      <c r="S29" s="5"/>
      <c r="T29" s="5"/>
      <c r="U29" s="5"/>
      <c r="V29" s="5"/>
      <c r="W29" s="5"/>
    </row>
    <row r="30" spans="1:29" ht="14.65" thickBot="1" x14ac:dyDescent="0.5">
      <c r="A30" s="5"/>
      <c r="B30" s="27" t="str">
        <f>IF(C29=A35,"¿En qué año aprobaste la oposición?","")</f>
        <v/>
      </c>
      <c r="C30" s="20">
        <v>2002</v>
      </c>
      <c r="D30" s="5">
        <f>IF($C$27&lt;=200,Datos!G110,"")</f>
        <v>66.239999999999995</v>
      </c>
      <c r="E30" s="5" t="str">
        <f>IF(AND(C11=D5,$D$12=$D$14,$C$14=F16),Datos!G67,"")</f>
        <v/>
      </c>
      <c r="F30" s="5" t="str">
        <f>IF(AND(OR($C$13=$D$15,$C$13=$D$16),$C$14=F16,C11=D5),Datos!G71,"")</f>
        <v/>
      </c>
      <c r="G30" s="5" t="str">
        <f>IF(AND(C11=D6,$D12=$D$14,$C$14=F13),Datos!G35,"")</f>
        <v/>
      </c>
      <c r="H30" s="5" t="str">
        <f>IF(AND(OR($C$13=$D$15,$C$13=$D$16),$C$14=F16,C11=D6),Datos!G41,"")</f>
        <v/>
      </c>
      <c r="I30" s="5"/>
      <c r="J30" s="42" t="s">
        <v>170</v>
      </c>
      <c r="K30" s="68"/>
      <c r="L30" s="53">
        <f>IF(C29=A37,L4*0.0647+M4*0.0647/6,0)</f>
        <v>303.3539296666666</v>
      </c>
      <c r="M30" s="22">
        <v>0</v>
      </c>
      <c r="P30" s="5"/>
      <c r="Q30" s="5"/>
      <c r="R30" s="5"/>
      <c r="S30" s="5"/>
      <c r="T30" s="5"/>
      <c r="U30" s="5"/>
      <c r="V30" s="5"/>
      <c r="W30" s="5"/>
    </row>
    <row r="31" spans="1:29" ht="14.65" thickBot="1" x14ac:dyDescent="0.5">
      <c r="A31" s="5"/>
      <c r="B31" s="166" t="s">
        <v>175</v>
      </c>
      <c r="C31" s="167"/>
      <c r="D31" s="5">
        <f>IF($C$27&lt;=250,Datos!G111,"")</f>
        <v>82.8</v>
      </c>
      <c r="E31" s="5" t="str">
        <f>IF(AND($C$13=$D$14,$C$15&lt;&gt;"",$C$15&lt;&gt;$G$13,$C$14=F17),Datos!G36,"")</f>
        <v/>
      </c>
      <c r="F31" s="5"/>
      <c r="G31" s="5" t="str">
        <f>IF(AND(C11=D6,$D12=$D$14,$C$14=F16),Datos!G36,"")</f>
        <v/>
      </c>
      <c r="H31" s="5" t="str">
        <f>IF(AND(OR($C$13=$D$15,$C$13=$D$16),$C$14=F17,C11=D6),Datos!G42,"")</f>
        <v/>
      </c>
      <c r="I31" s="5"/>
      <c r="J31" s="61" t="s">
        <v>171</v>
      </c>
      <c r="K31" s="115">
        <f>L61</f>
        <v>0.26170595206695357</v>
      </c>
      <c r="L31" s="54">
        <f>L4*K31</f>
        <v>1070.3721098347987</v>
      </c>
      <c r="M31" s="54">
        <f>M4*K31</f>
        <v>940.01114099120787</v>
      </c>
      <c r="O31" s="5"/>
      <c r="P31" s="5"/>
      <c r="Q31" s="5"/>
      <c r="R31" s="5"/>
      <c r="S31" s="5"/>
      <c r="T31" s="5"/>
      <c r="U31" s="5"/>
      <c r="V31" s="5"/>
      <c r="W31" s="5"/>
    </row>
    <row r="32" spans="1:29" ht="14.65" thickBot="1" x14ac:dyDescent="0.5">
      <c r="A32" s="5"/>
      <c r="B32" s="27" t="s">
        <v>177</v>
      </c>
      <c r="C32" s="20" t="s">
        <v>144</v>
      </c>
      <c r="D32" s="5">
        <f>IF($C$27&lt;=300,Datos!G112,"")</f>
        <v>99.36</v>
      </c>
      <c r="E32" s="5" t="str">
        <f>IF(AND($C$13=$D$14,$C$15&lt;&gt;"",$C$15&lt;&gt;$G$13,$C$14=F18),Datos!G37,"")</f>
        <v/>
      </c>
      <c r="F32" s="5"/>
      <c r="G32" s="5" t="str">
        <f>IF(AND(C11=D6,$D12=$D$14,$C$14=F17),Datos!G37,"")</f>
        <v/>
      </c>
      <c r="H32" s="5"/>
      <c r="I32" s="5"/>
      <c r="J32" s="24"/>
      <c r="K32" s="24"/>
      <c r="O32" s="5" t="s">
        <v>182</v>
      </c>
      <c r="P32" s="5"/>
      <c r="Q32" s="5"/>
      <c r="R32" s="5"/>
      <c r="S32" s="5"/>
      <c r="T32" s="5"/>
      <c r="U32" s="5"/>
      <c r="V32" s="5"/>
      <c r="W32" s="5"/>
    </row>
    <row r="33" spans="1:23" ht="14.65" thickBot="1" x14ac:dyDescent="0.5">
      <c r="A33" s="5"/>
      <c r="B33" s="27" t="s">
        <v>197</v>
      </c>
      <c r="C33" s="148">
        <v>0</v>
      </c>
      <c r="D33" s="5">
        <f>IF($C$27&lt;=350,Datos!G113,"")</f>
        <v>115.92</v>
      </c>
      <c r="E33" s="5"/>
      <c r="F33" s="5" t="str">
        <f>IF(AND(OR($C$13=$D$15,$C$13=$D$16),$C$15&lt;&gt;"",$C$15&lt;&gt;$G$13,$C$14=F19),Datos!G44,"")</f>
        <v/>
      </c>
      <c r="G33" s="5" t="str">
        <f>IF(AND(C11=D6,$D12=$D$14,$C$14=F18),Datos!G38,"")</f>
        <v/>
      </c>
      <c r="H33" s="5"/>
      <c r="I33" s="5"/>
      <c r="J33" s="24"/>
      <c r="K33" s="24"/>
      <c r="L33" s="25"/>
      <c r="M33" s="25"/>
      <c r="O33" s="5" t="s">
        <v>183</v>
      </c>
      <c r="P33" s="5">
        <v>2400</v>
      </c>
      <c r="Q33" s="5">
        <v>2400</v>
      </c>
      <c r="R33" s="5"/>
      <c r="S33" s="5"/>
      <c r="T33" s="5"/>
      <c r="U33" s="5"/>
      <c r="V33" s="5"/>
      <c r="W33" s="5"/>
    </row>
    <row r="34" spans="1:23" ht="14.65" thickBot="1" x14ac:dyDescent="0.5">
      <c r="A34" s="5"/>
      <c r="B34" s="27" t="s">
        <v>196</v>
      </c>
      <c r="C34" s="148">
        <v>0</v>
      </c>
      <c r="D34" s="5">
        <f>IF($C$27&lt;=450,Datos!G114,"")</f>
        <v>132.47999999999999</v>
      </c>
      <c r="E34" s="5"/>
      <c r="F34" s="5"/>
      <c r="G34" s="5"/>
      <c r="H34" s="5"/>
      <c r="I34" s="5"/>
      <c r="J34" s="85" t="s">
        <v>173</v>
      </c>
      <c r="K34" s="116"/>
      <c r="L34" s="87"/>
      <c r="M34" s="25"/>
      <c r="O34" s="5" t="s">
        <v>184</v>
      </c>
      <c r="P34" s="5">
        <v>2700</v>
      </c>
      <c r="Q34" s="5">
        <f>Q33+P34</f>
        <v>5100</v>
      </c>
      <c r="R34" s="5"/>
      <c r="S34" s="5"/>
      <c r="T34" s="5"/>
      <c r="U34" s="5"/>
      <c r="V34" s="5"/>
      <c r="W34" s="5"/>
    </row>
    <row r="35" spans="1:23" ht="14.65" thickBot="1" x14ac:dyDescent="0.5">
      <c r="A35" s="5" t="s">
        <v>165</v>
      </c>
      <c r="B35" s="28" t="s">
        <v>180</v>
      </c>
      <c r="C35" s="20"/>
      <c r="D35" s="5">
        <f>IF($C$27&lt;=450,Datos!G115,"")</f>
        <v>149.04</v>
      </c>
      <c r="E35" s="5"/>
      <c r="F35" s="5"/>
      <c r="G35" s="5"/>
      <c r="H35" s="5"/>
      <c r="I35" s="5"/>
      <c r="J35" s="42" t="s">
        <v>174</v>
      </c>
      <c r="K35" s="43"/>
      <c r="L35" s="81">
        <f>L4*12+M4*2</f>
        <v>56263.48</v>
      </c>
      <c r="O35" s="5" t="s">
        <v>185</v>
      </c>
      <c r="P35" s="5">
        <v>4000</v>
      </c>
      <c r="Q35" s="5">
        <f>Q34+P35</f>
        <v>9100</v>
      </c>
      <c r="R35" s="5"/>
      <c r="S35" s="5"/>
      <c r="T35" s="5"/>
      <c r="U35" s="5"/>
      <c r="V35" s="5"/>
      <c r="W35" s="5"/>
    </row>
    <row r="36" spans="1:23" ht="14.75" customHeight="1" thickBot="1" x14ac:dyDescent="0.5">
      <c r="A36" s="5" t="s">
        <v>166</v>
      </c>
      <c r="B36" s="27" t="s">
        <v>179</v>
      </c>
      <c r="C36" s="20">
        <v>0</v>
      </c>
      <c r="D36" s="5">
        <f>IF($C$27&lt;=1000050,Datos!G116,"")</f>
        <v>165.6</v>
      </c>
      <c r="E36" s="5"/>
      <c r="F36" s="5"/>
      <c r="G36" s="5"/>
      <c r="H36" s="5"/>
      <c r="I36" s="5"/>
      <c r="J36" s="42" t="s">
        <v>265</v>
      </c>
      <c r="K36" s="43"/>
      <c r="L36" s="11">
        <f>IF(AND(C47="Sí",L35&lt;33007.2),TRUNC(L35*0.02),0)</f>
        <v>0</v>
      </c>
      <c r="M36" s="24"/>
      <c r="N36" s="24"/>
      <c r="O36" s="5" t="s">
        <v>186</v>
      </c>
      <c r="P36" s="5">
        <v>4500</v>
      </c>
      <c r="Q36" s="5"/>
      <c r="R36" s="5"/>
      <c r="S36" s="5"/>
      <c r="T36" s="5"/>
      <c r="U36" s="5"/>
      <c r="V36" s="5"/>
      <c r="W36" s="5"/>
    </row>
    <row r="37" spans="1:23" ht="14.75" customHeight="1" thickBot="1" x14ac:dyDescent="0.5">
      <c r="A37" s="5" t="s">
        <v>167</v>
      </c>
      <c r="B37" s="29" t="s">
        <v>202</v>
      </c>
      <c r="C37" s="20" t="s">
        <v>144</v>
      </c>
      <c r="D37" s="5" t="str">
        <f>IF(B69=A68,"Sí","No")</f>
        <v>Sí</v>
      </c>
      <c r="E37" s="5"/>
      <c r="F37" s="5"/>
      <c r="G37" s="5"/>
      <c r="H37" s="5"/>
      <c r="I37" s="5"/>
      <c r="J37" s="42" t="s">
        <v>271</v>
      </c>
      <c r="K37" s="43"/>
      <c r="L37" s="11">
        <f>IF(L35-L38&lt;14047.5,6498,IF(L35-L38&lt;19747.5,6498-(1.14*(L35-L38-14047.5)),0))</f>
        <v>0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4.75" customHeight="1" thickBot="1" x14ac:dyDescent="0.5">
      <c r="A38" s="5" t="s">
        <v>188</v>
      </c>
      <c r="B38" s="27" t="s">
        <v>187</v>
      </c>
      <c r="C38" s="20" t="s">
        <v>188</v>
      </c>
      <c r="D38" s="5"/>
      <c r="E38" s="5"/>
      <c r="F38" s="5"/>
      <c r="G38" s="5"/>
      <c r="H38" s="5"/>
      <c r="I38" s="5"/>
      <c r="J38" s="42" t="s">
        <v>242</v>
      </c>
      <c r="K38" s="43"/>
      <c r="L38" s="81">
        <f>SUM(L26:L29)*14+SUM(M26:M29)*2</f>
        <v>0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4.75" customHeight="1" thickBot="1" x14ac:dyDescent="0.5">
      <c r="A39" s="5" t="s">
        <v>190</v>
      </c>
      <c r="B39" s="29" t="s">
        <v>195</v>
      </c>
      <c r="C39" s="20" t="s">
        <v>144</v>
      </c>
      <c r="D39" s="5"/>
      <c r="E39" s="5"/>
      <c r="F39" s="5"/>
      <c r="G39" s="5"/>
      <c r="H39" s="5"/>
      <c r="I39" s="5"/>
      <c r="J39" s="42" t="s">
        <v>247</v>
      </c>
      <c r="K39" s="43"/>
      <c r="L39" s="81">
        <f>C33+2000+M40</f>
        <v>2000</v>
      </c>
      <c r="M39" s="5"/>
      <c r="N39" s="5"/>
      <c r="O39" s="24"/>
      <c r="P39" s="5"/>
      <c r="Q39" s="5"/>
      <c r="R39" s="5"/>
      <c r="S39" s="5"/>
      <c r="T39" s="5"/>
      <c r="U39" s="5"/>
      <c r="V39" s="5"/>
      <c r="W39" s="5"/>
    </row>
    <row r="40" spans="1:23" ht="14.75" customHeight="1" thickBot="1" x14ac:dyDescent="0.5">
      <c r="A40" s="5" t="s">
        <v>189</v>
      </c>
      <c r="B40" s="27" t="s">
        <v>198</v>
      </c>
      <c r="C40" s="20"/>
      <c r="D40" s="5"/>
      <c r="E40" s="5"/>
      <c r="F40" s="5"/>
      <c r="G40" s="5"/>
      <c r="H40" s="5"/>
      <c r="I40" s="5"/>
      <c r="J40" s="42" t="s">
        <v>176</v>
      </c>
      <c r="K40" s="43"/>
      <c r="L40" s="81">
        <f>IF(C32="Sí",1150+5550,5550)</f>
        <v>5550</v>
      </c>
      <c r="M40" s="5">
        <f>IF(AND(C38=A41,C39="No"),3500,IF(OR(C38=A40,C38=A41),7750,0))</f>
        <v>0</v>
      </c>
      <c r="N40" s="5"/>
      <c r="O40" s="24"/>
      <c r="P40" s="5"/>
      <c r="Q40" s="5"/>
      <c r="R40" s="5"/>
      <c r="S40" s="5"/>
      <c r="T40" s="5"/>
      <c r="U40" s="5"/>
      <c r="V40" s="5"/>
      <c r="W40" s="5"/>
    </row>
    <row r="41" spans="1:23" ht="14.75" customHeight="1" x14ac:dyDescent="0.45">
      <c r="A41" s="5" t="s">
        <v>191</v>
      </c>
      <c r="B41" s="168" t="s">
        <v>213</v>
      </c>
      <c r="C41" s="170">
        <v>0</v>
      </c>
      <c r="D41" s="112"/>
      <c r="J41" s="42" t="s">
        <v>178</v>
      </c>
      <c r="K41" s="43"/>
      <c r="L41" s="81">
        <f>SUM(C70:C73)</f>
        <v>0</v>
      </c>
      <c r="M41" s="5"/>
      <c r="N41" s="5"/>
      <c r="O41" s="24"/>
      <c r="P41" s="5"/>
      <c r="Q41" s="5"/>
      <c r="R41" s="5"/>
      <c r="S41" s="5"/>
      <c r="T41" s="5"/>
      <c r="U41" s="5"/>
      <c r="V41" s="5"/>
      <c r="W41" s="5"/>
    </row>
    <row r="42" spans="1:23" ht="14.75" customHeight="1" x14ac:dyDescent="0.45">
      <c r="A42" s="5"/>
      <c r="B42" s="168"/>
      <c r="C42" s="171"/>
      <c r="D42" s="112"/>
      <c r="J42" s="42" t="s">
        <v>181</v>
      </c>
      <c r="K42" s="43"/>
      <c r="L42" s="81">
        <f>IF(C37="no",M48/2+1400*C36,M48+2800*C36)</f>
        <v>0</v>
      </c>
      <c r="M42" s="5"/>
      <c r="N42" s="5"/>
      <c r="O42" s="24"/>
      <c r="P42" s="5"/>
      <c r="Q42" s="5"/>
      <c r="R42" s="5"/>
      <c r="S42" s="5"/>
      <c r="T42" s="5"/>
      <c r="U42" s="5"/>
      <c r="V42" s="5"/>
      <c r="W42" s="5"/>
    </row>
    <row r="43" spans="1:23" ht="14.75" customHeight="1" thickBot="1" x14ac:dyDescent="0.5">
      <c r="A43" s="5"/>
      <c r="B43" s="169"/>
      <c r="C43" s="172"/>
      <c r="D43" s="112"/>
      <c r="J43" s="42" t="s">
        <v>192</v>
      </c>
      <c r="K43" s="43"/>
      <c r="L43" s="81">
        <f>IF(C38=A40,9000,IF(C38=A41,3000,0))</f>
        <v>0</v>
      </c>
      <c r="M43" s="5"/>
      <c r="N43" s="5"/>
      <c r="O43" s="24"/>
      <c r="P43" s="5"/>
      <c r="Q43" s="5"/>
      <c r="R43" s="5"/>
      <c r="S43" s="5"/>
      <c r="T43" s="5"/>
      <c r="U43" s="5"/>
      <c r="V43" s="5"/>
      <c r="W43" s="5"/>
    </row>
    <row r="44" spans="1:23" ht="14.75" customHeight="1" x14ac:dyDescent="0.45">
      <c r="A44" s="5"/>
      <c r="B44" s="173" t="s">
        <v>213</v>
      </c>
      <c r="C44" s="170">
        <v>0</v>
      </c>
      <c r="D44" s="112"/>
      <c r="J44" s="42" t="s">
        <v>193</v>
      </c>
      <c r="K44" s="43"/>
      <c r="L44" s="81">
        <f>SUM(C74:C77)</f>
        <v>0</v>
      </c>
      <c r="M44" s="5"/>
      <c r="N44" s="5"/>
      <c r="O44" s="24"/>
      <c r="P44" s="5"/>
      <c r="Q44" s="5"/>
      <c r="R44" s="5"/>
      <c r="S44" s="5"/>
      <c r="T44" s="5"/>
      <c r="U44" s="5"/>
      <c r="V44" s="5"/>
      <c r="W44" s="5"/>
    </row>
    <row r="45" spans="1:23" ht="14.75" customHeight="1" x14ac:dyDescent="0.45">
      <c r="A45" s="5"/>
      <c r="B45" s="168"/>
      <c r="C45" s="171"/>
      <c r="D45" s="112"/>
      <c r="J45" s="42" t="s">
        <v>194</v>
      </c>
      <c r="K45" s="43"/>
      <c r="L45" s="81">
        <f>IF(C37="Sí",M50,M50/2)</f>
        <v>0</v>
      </c>
      <c r="M45" s="5"/>
      <c r="N45" s="5"/>
      <c r="O45" s="24"/>
      <c r="P45" s="5"/>
      <c r="Q45" s="5"/>
      <c r="R45" s="5"/>
      <c r="S45" s="5"/>
      <c r="T45" s="5"/>
      <c r="U45" s="5"/>
      <c r="V45" s="5"/>
      <c r="W45" s="5"/>
    </row>
    <row r="46" spans="1:23" ht="14.75" customHeight="1" thickBot="1" x14ac:dyDescent="0.5">
      <c r="A46" s="5"/>
      <c r="B46" s="169"/>
      <c r="C46" s="172"/>
      <c r="D46" s="112"/>
      <c r="J46" s="42" t="s">
        <v>212</v>
      </c>
      <c r="K46" s="43"/>
      <c r="L46" s="81">
        <f>IF(OR(C39="Sí",C38=A40),3000,0)</f>
        <v>0</v>
      </c>
      <c r="M46" s="5"/>
      <c r="N46" s="5"/>
      <c r="O46" s="24"/>
      <c r="P46" s="5"/>
      <c r="Q46" s="5"/>
      <c r="R46" s="5"/>
      <c r="S46" s="5"/>
      <c r="T46" s="5"/>
      <c r="U46" s="5"/>
      <c r="V46" s="5"/>
      <c r="W46" s="5"/>
    </row>
    <row r="47" spans="1:23" ht="14.75" customHeight="1" thickBot="1" x14ac:dyDescent="0.5">
      <c r="A47" s="24"/>
      <c r="B47" s="27" t="s">
        <v>273</v>
      </c>
      <c r="C47" s="20" t="s">
        <v>144</v>
      </c>
      <c r="D47" s="112"/>
      <c r="J47" s="42" t="s">
        <v>214</v>
      </c>
      <c r="K47" s="43"/>
      <c r="L47" s="11">
        <f>SUM(L40:L46)</f>
        <v>5550</v>
      </c>
      <c r="M47" s="5"/>
      <c r="N47" s="5"/>
      <c r="O47" s="24"/>
      <c r="P47" s="5"/>
      <c r="Q47" s="5"/>
      <c r="R47" s="5"/>
      <c r="S47" s="5"/>
      <c r="T47" s="5"/>
      <c r="U47" s="5"/>
      <c r="V47" s="5"/>
      <c r="W47" s="5"/>
    </row>
    <row r="48" spans="1:23" ht="14.75" customHeight="1" thickBot="1" x14ac:dyDescent="0.5">
      <c r="A48" s="24"/>
      <c r="B48" s="27" t="s">
        <v>266</v>
      </c>
      <c r="C48" s="149"/>
      <c r="D48" s="112"/>
      <c r="J48" s="42" t="s">
        <v>215</v>
      </c>
      <c r="K48" s="43"/>
      <c r="L48" s="11">
        <f>MAX(0,L35-L38-L39-L37)</f>
        <v>54263.48</v>
      </c>
      <c r="M48" s="5">
        <f>IF(C35=1,Q33,IF(C35=2,Q34,IF(C35=3,Q35,IF(C35&lt;1,0,Q35+4500*(C35-3)))))</f>
        <v>0</v>
      </c>
      <c r="N48" s="5"/>
      <c r="O48" s="24"/>
      <c r="P48" s="5"/>
      <c r="Q48" s="5"/>
      <c r="R48" s="5"/>
      <c r="S48" s="5"/>
      <c r="T48" s="5"/>
      <c r="U48" s="5"/>
      <c r="V48" s="5"/>
      <c r="W48" s="5"/>
    </row>
    <row r="49" spans="1:23" ht="14.75" customHeight="1" thickBot="1" x14ac:dyDescent="0.5">
      <c r="A49" s="24"/>
      <c r="B49" s="30" t="s">
        <v>199</v>
      </c>
      <c r="C49" s="141"/>
      <c r="D49" s="112"/>
      <c r="J49" s="42" t="s">
        <v>216</v>
      </c>
      <c r="K49" s="43"/>
      <c r="L49" s="11">
        <f>IF(L47&gt;12450,0,MAX(0,MIN(12450,L48)-L47))</f>
        <v>6900</v>
      </c>
      <c r="M49" s="5"/>
      <c r="N49" s="5"/>
      <c r="O49" s="24"/>
      <c r="P49" s="5"/>
      <c r="Q49" s="5"/>
      <c r="R49" s="5"/>
      <c r="S49" s="5"/>
      <c r="T49" s="5"/>
      <c r="U49" s="5"/>
      <c r="V49" s="5"/>
      <c r="W49" s="5"/>
    </row>
    <row r="50" spans="1:23" ht="14.75" customHeight="1" thickBot="1" x14ac:dyDescent="0.5">
      <c r="A50" s="24"/>
      <c r="B50" s="30" t="s">
        <v>200</v>
      </c>
      <c r="C50" s="141" t="s">
        <v>188</v>
      </c>
      <c r="D50" s="112"/>
      <c r="J50" s="42" t="s">
        <v>217</v>
      </c>
      <c r="K50" s="43"/>
      <c r="L50" s="11">
        <f>IF(IF(L47&gt;20200,0,IF(L48&gt;20200,MIN(20200-L47,20200-12450),MIN(L48-L47,L48-12450)))&lt;0,0,IF(L47&gt;20200,0,IF(L48&gt;20200,MIN(20200-L47,20200-12450),MIN(L48-L47,L48-12450))))</f>
        <v>7750</v>
      </c>
      <c r="M50" s="5">
        <f>C40*12000+C41*6000+C44*3000</f>
        <v>0</v>
      </c>
      <c r="N50" s="5"/>
      <c r="O50" s="24"/>
      <c r="P50" s="5"/>
      <c r="Q50" s="5"/>
      <c r="R50" s="5"/>
      <c r="S50" s="5"/>
      <c r="T50" s="5"/>
      <c r="U50" s="5"/>
      <c r="V50" s="5"/>
      <c r="W50" s="5"/>
    </row>
    <row r="51" spans="1:23" ht="14.75" customHeight="1" thickBot="1" x14ac:dyDescent="0.5">
      <c r="A51" s="24"/>
      <c r="B51" s="30" t="s">
        <v>207</v>
      </c>
      <c r="C51" s="20" t="s">
        <v>144</v>
      </c>
      <c r="D51" s="112"/>
      <c r="J51" s="42" t="s">
        <v>218</v>
      </c>
      <c r="K51" s="43"/>
      <c r="L51" s="11">
        <f>IF(IF(L47&gt;35200,0,IF(L48&gt;35200,MIN(35200-L47,35200-20200),MIN(L48-L47,L48-20200)))&lt;0,0,IF(L47&gt;35200,0,IF(L48&gt;35200,MIN(35200-L47,35200-20200),MIN(L48-L47,L48-20200))))</f>
        <v>15000</v>
      </c>
      <c r="M51" s="5"/>
      <c r="N51" s="5"/>
      <c r="O51" s="24"/>
      <c r="P51" s="5"/>
      <c r="Q51" s="5"/>
      <c r="R51" s="5"/>
      <c r="S51" s="5"/>
      <c r="T51" s="5"/>
      <c r="U51" s="5"/>
      <c r="V51" s="5"/>
      <c r="W51" s="5"/>
    </row>
    <row r="52" spans="1:23" ht="14.75" customHeight="1" thickBot="1" x14ac:dyDescent="0.5">
      <c r="A52" s="5"/>
      <c r="B52" s="31" t="s">
        <v>201</v>
      </c>
      <c r="C52" s="141"/>
      <c r="D52" s="112"/>
      <c r="J52" s="42" t="s">
        <v>219</v>
      </c>
      <c r="K52" s="43"/>
      <c r="L52" s="11">
        <f>IF(IF(L47&gt;60000,0,IF(L48&gt;60000,MIN(35200-L47,60000-35200),MIN(L48-L47,L48-35200)))&lt;0,0,IF(L47&gt;60000,0,IF(L48&gt;60000,MIN(35200-L47,60000-35200),MIN(L48-L47,L48-35200))))</f>
        <v>19063.480000000003</v>
      </c>
      <c r="M52" s="5"/>
      <c r="N52" s="5"/>
      <c r="O52" s="24"/>
      <c r="P52" s="5"/>
      <c r="Q52" s="5"/>
      <c r="R52" s="5"/>
      <c r="S52" s="5"/>
      <c r="T52" s="5"/>
      <c r="U52" s="5"/>
      <c r="V52" s="5"/>
      <c r="W52" s="5"/>
    </row>
    <row r="53" spans="1:23" ht="14.75" customHeight="1" thickBot="1" x14ac:dyDescent="0.5">
      <c r="A53" s="5"/>
      <c r="B53" s="27" t="s">
        <v>267</v>
      </c>
      <c r="C53" s="149"/>
      <c r="D53" s="112"/>
      <c r="J53" s="42" t="s">
        <v>220</v>
      </c>
      <c r="K53" s="43"/>
      <c r="L53" s="11">
        <f>IF(IF(L47&gt;30000,0,IF(L48&gt;300000,MIN(60000-L47,300000-60000),MIN(L48-L47,L48-60000)))&lt;0,0,IF(L47&gt;30000,0,IF(L48&gt;300000,MIN(60000-L47,300000-60000),MIN(L48-L47,L48-60000))))</f>
        <v>0</v>
      </c>
      <c r="M53" s="5"/>
      <c r="N53" s="5"/>
      <c r="O53" s="24"/>
      <c r="P53" s="5"/>
      <c r="Q53" s="5"/>
      <c r="R53" s="5"/>
      <c r="S53" s="5"/>
      <c r="T53" s="5"/>
      <c r="U53" s="5"/>
      <c r="V53" s="5"/>
      <c r="W53" s="5"/>
    </row>
    <row r="54" spans="1:23" ht="14.75" customHeight="1" thickBot="1" x14ac:dyDescent="0.5">
      <c r="A54" s="5"/>
      <c r="B54" s="30" t="s">
        <v>199</v>
      </c>
      <c r="C54" s="141"/>
      <c r="D54" s="112"/>
      <c r="J54" s="42" t="s">
        <v>221</v>
      </c>
      <c r="K54" s="43"/>
      <c r="L54" s="11">
        <f>ROUND(L49*0.19,2)</f>
        <v>1311</v>
      </c>
      <c r="M54" s="5"/>
      <c r="N54" s="5"/>
      <c r="O54" s="24"/>
      <c r="P54" s="5"/>
      <c r="Q54" s="5"/>
      <c r="R54" s="5"/>
      <c r="S54" s="5"/>
      <c r="T54" s="5"/>
      <c r="U54" s="5"/>
      <c r="V54" s="5"/>
      <c r="W54" s="5"/>
    </row>
    <row r="55" spans="1:23" ht="14.75" customHeight="1" thickBot="1" x14ac:dyDescent="0.5">
      <c r="A55" s="5"/>
      <c r="B55" s="30" t="s">
        <v>200</v>
      </c>
      <c r="C55" s="141" t="s">
        <v>188</v>
      </c>
      <c r="D55" s="112"/>
      <c r="J55" s="42" t="s">
        <v>222</v>
      </c>
      <c r="K55" s="43"/>
      <c r="L55" s="11">
        <f>ROUND(L50*0.24,2)</f>
        <v>1860</v>
      </c>
      <c r="M55" s="5"/>
      <c r="N55" s="5"/>
      <c r="P55" s="5"/>
      <c r="Q55" s="5"/>
      <c r="R55" s="5"/>
      <c r="S55" s="5"/>
      <c r="T55" s="5"/>
      <c r="U55" s="5"/>
      <c r="V55" s="5"/>
      <c r="W55" s="5"/>
    </row>
    <row r="56" spans="1:23" ht="14.75" customHeight="1" thickBot="1" x14ac:dyDescent="0.5">
      <c r="A56" s="5"/>
      <c r="B56" s="30" t="s">
        <v>207</v>
      </c>
      <c r="C56" s="20" t="s">
        <v>144</v>
      </c>
      <c r="D56" s="112"/>
      <c r="J56" s="42" t="s">
        <v>223</v>
      </c>
      <c r="K56" s="43"/>
      <c r="L56" s="11">
        <f>ROUND(L51*0.3,2)</f>
        <v>4500</v>
      </c>
      <c r="M56" s="5"/>
      <c r="N56" s="5"/>
      <c r="P56" s="5"/>
      <c r="Q56" s="5"/>
      <c r="R56" s="5"/>
      <c r="S56" s="5"/>
      <c r="T56" s="5"/>
      <c r="U56" s="5"/>
      <c r="V56" s="5"/>
      <c r="W56" s="5"/>
    </row>
    <row r="57" spans="1:23" ht="14.75" customHeight="1" thickBot="1" x14ac:dyDescent="0.5">
      <c r="A57" s="5"/>
      <c r="B57" s="31" t="s">
        <v>201</v>
      </c>
      <c r="C57" s="141"/>
      <c r="D57" s="112"/>
      <c r="J57" s="42" t="s">
        <v>224</v>
      </c>
      <c r="K57" s="43"/>
      <c r="L57" s="11">
        <f>ROUND(L52*0.37,2)</f>
        <v>7053.49</v>
      </c>
      <c r="P57" s="5"/>
      <c r="Q57" s="5"/>
      <c r="R57" s="5"/>
      <c r="S57" s="5"/>
      <c r="T57" s="5"/>
      <c r="U57" s="5"/>
      <c r="V57" s="5"/>
      <c r="W57" s="5"/>
    </row>
    <row r="58" spans="1:23" ht="14.65" thickBot="1" x14ac:dyDescent="0.5">
      <c r="A58" s="5"/>
      <c r="B58" s="27" t="s">
        <v>268</v>
      </c>
      <c r="C58" s="149"/>
      <c r="D58" s="112"/>
      <c r="J58" s="42" t="s">
        <v>225</v>
      </c>
      <c r="K58" s="43"/>
      <c r="L58" s="11">
        <f>ROUND(L53*0.45,2)</f>
        <v>0</v>
      </c>
      <c r="P58" s="5"/>
      <c r="Q58" s="5"/>
      <c r="R58" s="5"/>
      <c r="S58" s="5"/>
      <c r="T58" s="5"/>
      <c r="U58" s="5"/>
      <c r="V58" s="5"/>
      <c r="W58" s="5"/>
    </row>
    <row r="59" spans="1:23" ht="14.65" thickBot="1" x14ac:dyDescent="0.5">
      <c r="A59" s="5"/>
      <c r="B59" s="30" t="s">
        <v>199</v>
      </c>
      <c r="C59" s="141"/>
      <c r="D59" s="112"/>
      <c r="J59" s="42" t="s">
        <v>272</v>
      </c>
      <c r="K59" s="43"/>
      <c r="L59" s="56">
        <f>SUM(L54:L58)</f>
        <v>14724.49</v>
      </c>
      <c r="P59" s="5"/>
      <c r="Q59" s="5"/>
      <c r="R59" s="5"/>
      <c r="S59" s="5"/>
      <c r="T59" s="5"/>
      <c r="U59" s="5"/>
      <c r="V59" s="5"/>
      <c r="W59" s="5"/>
    </row>
    <row r="60" spans="1:23" ht="14.65" thickBot="1" x14ac:dyDescent="0.5">
      <c r="A60" s="5"/>
      <c r="B60" s="30" t="s">
        <v>200</v>
      </c>
      <c r="C60" s="141" t="s">
        <v>188</v>
      </c>
      <c r="D60" s="112"/>
      <c r="J60" s="42" t="s">
        <v>270</v>
      </c>
      <c r="K60" s="43"/>
      <c r="L60" s="56">
        <f>MAX(0,C129-L36)</f>
        <v>14724.4876</v>
      </c>
      <c r="P60" s="5"/>
      <c r="Q60" s="5"/>
      <c r="R60" s="5"/>
      <c r="S60" s="5"/>
      <c r="T60" s="5"/>
      <c r="U60" s="5"/>
      <c r="V60" s="5"/>
      <c r="W60" s="5"/>
    </row>
    <row r="61" spans="1:23" ht="14.65" thickBot="1" x14ac:dyDescent="0.5">
      <c r="A61" s="5"/>
      <c r="B61" s="32" t="s">
        <v>207</v>
      </c>
      <c r="C61" s="20" t="s">
        <v>144</v>
      </c>
      <c r="D61" s="112"/>
      <c r="J61" s="117" t="s">
        <v>226</v>
      </c>
      <c r="K61" s="118"/>
      <c r="L61" s="93">
        <f>IF(M61&lt;0.02,0.02,M61)</f>
        <v>0.26170595206695357</v>
      </c>
      <c r="M61" s="5">
        <f>IF(L60&lt;L59,L60/L35,L59/L35)</f>
        <v>0.26170595206695357</v>
      </c>
    </row>
    <row r="62" spans="1:23" ht="14.65" thickBot="1" x14ac:dyDescent="0.5">
      <c r="A62" s="5"/>
      <c r="B62" s="31" t="s">
        <v>201</v>
      </c>
      <c r="C62" s="141"/>
      <c r="D62" s="112"/>
      <c r="J62" s="24"/>
      <c r="K62" s="24"/>
    </row>
    <row r="63" spans="1:23" ht="14.65" thickBot="1" x14ac:dyDescent="0.5">
      <c r="A63" s="5"/>
      <c r="B63" s="27" t="s">
        <v>269</v>
      </c>
      <c r="C63" s="149"/>
      <c r="D63" s="112"/>
      <c r="J63" s="85" t="s">
        <v>228</v>
      </c>
      <c r="K63" s="119"/>
      <c r="L63" s="89"/>
    </row>
    <row r="64" spans="1:23" ht="14.65" thickBot="1" x14ac:dyDescent="0.5">
      <c r="A64" s="5"/>
      <c r="B64" s="30" t="s">
        <v>199</v>
      </c>
      <c r="C64" s="141"/>
      <c r="D64" s="112"/>
      <c r="J64" s="42" t="s">
        <v>230</v>
      </c>
      <c r="K64" s="120"/>
      <c r="L64" s="82">
        <v>4.7E-2</v>
      </c>
    </row>
    <row r="65" spans="1:12" ht="14.65" thickBot="1" x14ac:dyDescent="0.5">
      <c r="A65" s="5"/>
      <c r="B65" s="30" t="s">
        <v>200</v>
      </c>
      <c r="C65" s="141" t="s">
        <v>188</v>
      </c>
      <c r="D65" s="112"/>
      <c r="J65" s="42" t="s">
        <v>231</v>
      </c>
      <c r="K65" s="120"/>
      <c r="L65" s="82">
        <v>1.1999999999999999E-3</v>
      </c>
    </row>
    <row r="66" spans="1:12" ht="14.65" thickBot="1" x14ac:dyDescent="0.5">
      <c r="A66" s="5"/>
      <c r="B66" s="32" t="s">
        <v>207</v>
      </c>
      <c r="C66" s="20" t="s">
        <v>144</v>
      </c>
      <c r="D66" s="112"/>
      <c r="J66" s="42" t="s">
        <v>236</v>
      </c>
      <c r="K66" s="120"/>
      <c r="L66" s="82">
        <v>0.28299999999999997</v>
      </c>
    </row>
    <row r="67" spans="1:12" ht="14.65" thickBot="1" x14ac:dyDescent="0.5">
      <c r="A67" s="5"/>
      <c r="B67" s="32" t="s">
        <v>201</v>
      </c>
      <c r="C67" s="141"/>
      <c r="D67" s="112"/>
      <c r="J67" s="42" t="s">
        <v>235</v>
      </c>
      <c r="K67" s="120"/>
      <c r="L67" s="46">
        <v>1.0999999999999999E-2</v>
      </c>
    </row>
    <row r="68" spans="1:12" ht="14.65" thickBot="1" x14ac:dyDescent="0.5">
      <c r="A68" s="35" t="s">
        <v>246</v>
      </c>
      <c r="B68" s="28" t="s">
        <v>243</v>
      </c>
      <c r="C68" s="80">
        <f>IF(B69=A68,1,IF(B69=A69,2,IF(B69=A70,3,0)))</f>
        <v>1</v>
      </c>
      <c r="D68" s="112"/>
      <c r="J68" s="117" t="s">
        <v>234</v>
      </c>
      <c r="K68" s="118"/>
      <c r="L68" s="94">
        <f>L64+L65-(L66*L67)</f>
        <v>4.5087000000000002E-2</v>
      </c>
    </row>
    <row r="69" spans="1:12" ht="42" customHeight="1" thickBot="1" x14ac:dyDescent="0.5">
      <c r="A69" s="35" t="s">
        <v>244</v>
      </c>
      <c r="B69" s="156" t="s">
        <v>246</v>
      </c>
      <c r="C69" s="157"/>
      <c r="D69" s="112"/>
      <c r="J69" s="24"/>
      <c r="K69" s="24"/>
    </row>
    <row r="70" spans="1:12" x14ac:dyDescent="0.45">
      <c r="A70" s="35" t="s">
        <v>245</v>
      </c>
      <c r="B70" s="5" t="s">
        <v>203</v>
      </c>
      <c r="C70" s="5">
        <f>IF(C49&gt;=75,ROUND((1150+1400)/C52,2),IF(C49&gt;=65,ROUND(1150/C52,2),0))</f>
        <v>0</v>
      </c>
      <c r="D70" s="112"/>
      <c r="J70" s="85" t="s">
        <v>229</v>
      </c>
      <c r="K70" s="119"/>
      <c r="L70" s="89"/>
    </row>
    <row r="71" spans="1:12" x14ac:dyDescent="0.45">
      <c r="A71" s="5"/>
      <c r="B71" s="5" t="s">
        <v>204</v>
      </c>
      <c r="C71" s="5">
        <f>IF(C54&gt;=75,ROUND((1150+1400)/C57,2),IF(C54&gt;=65,ROUND(1150/C57,2),0))</f>
        <v>0</v>
      </c>
      <c r="D71" s="112"/>
      <c r="J71" s="42" t="s">
        <v>230</v>
      </c>
      <c r="K71" s="120"/>
      <c r="L71" s="82">
        <v>4.7E-2</v>
      </c>
    </row>
    <row r="72" spans="1:12" x14ac:dyDescent="0.45">
      <c r="A72" s="5"/>
      <c r="B72" s="5" t="s">
        <v>205</v>
      </c>
      <c r="C72" s="5">
        <f>IF(C59&gt;=75,ROUND((1150+1400)/C62,2),IF(C59&gt;=65,ROUND(1150/C62,2),0))</f>
        <v>0</v>
      </c>
      <c r="D72" s="112"/>
      <c r="J72" s="42" t="s">
        <v>231</v>
      </c>
      <c r="K72" s="120"/>
      <c r="L72" s="82">
        <v>1.1999999999999999E-3</v>
      </c>
    </row>
    <row r="73" spans="1:12" x14ac:dyDescent="0.45">
      <c r="A73" s="5"/>
      <c r="B73" s="5" t="s">
        <v>206</v>
      </c>
      <c r="C73" s="5">
        <f>IF(C64&gt;=75,ROUND((1150+1400)/C67,2),IF(C64&gt;=65,ROUND(1150/C67,2),0))</f>
        <v>0</v>
      </c>
      <c r="D73" s="112"/>
      <c r="J73" s="42" t="s">
        <v>232</v>
      </c>
      <c r="K73" s="120"/>
      <c r="L73" s="82">
        <v>1.55E-2</v>
      </c>
    </row>
    <row r="74" spans="1:12" x14ac:dyDescent="0.45">
      <c r="A74" s="25"/>
      <c r="B74" s="5" t="s">
        <v>208</v>
      </c>
      <c r="C74" s="5">
        <f>IF(C49&lt;65,0,IF(C50=A40,ROUND(12000/C52,2),IF(AND(C50=A41,C51="No"),ROUND(3000/C52,2),IF(AND(C50=A41,C51="Sí"),ROUND(6000/C52,2),""))))</f>
        <v>0</v>
      </c>
      <c r="D74" s="112"/>
      <c r="J74" s="42" t="s">
        <v>233</v>
      </c>
      <c r="K74" s="120"/>
      <c r="L74" s="82">
        <v>1E-3</v>
      </c>
    </row>
    <row r="75" spans="1:12" ht="14.65" thickBot="1" x14ac:dyDescent="0.5">
      <c r="A75" s="25"/>
      <c r="B75" s="5" t="s">
        <v>209</v>
      </c>
      <c r="C75" s="5">
        <f>IF(C54&lt;65,0,IF(C55=A40,ROUND(12000/C57,2),IF(AND(C55=A41,C56="No"),ROUND(3000/C57,2),IF(AND(C55=A41,C56="Sí"),ROUND(6000/C57,2),""))))</f>
        <v>0</v>
      </c>
      <c r="D75" s="112"/>
      <c r="J75" s="117" t="s">
        <v>234</v>
      </c>
      <c r="K75" s="118"/>
      <c r="L75" s="93">
        <f>SUM(L71:L74)</f>
        <v>6.4700000000000008E-2</v>
      </c>
    </row>
    <row r="76" spans="1:12" x14ac:dyDescent="0.45">
      <c r="A76" s="25"/>
      <c r="B76" s="5" t="s">
        <v>210</v>
      </c>
      <c r="C76" s="5">
        <f>IF(C59&lt;65,0,IF(C60=A40,ROUND(12000/C62,2),IF(AND(C60=A41,C61="No"),ROUND(3000/C62,2),IF(AND(C60=A41,C61="Sí"),ROUND(6000/C62,2),""))))</f>
        <v>0</v>
      </c>
      <c r="D76" s="5"/>
      <c r="E76" s="5"/>
      <c r="F76" s="5"/>
      <c r="G76" s="5"/>
      <c r="H76" s="5"/>
      <c r="I76" s="5"/>
      <c r="J76" s="5"/>
      <c r="K76" s="5"/>
    </row>
    <row r="77" spans="1:12" x14ac:dyDescent="0.45">
      <c r="A77" s="25"/>
      <c r="B77" s="5" t="s">
        <v>211</v>
      </c>
      <c r="C77" s="5">
        <f>IF(C64&lt;65,0,IF(C65=A40,ROUND(12000/C67,2),IF(AND(C65=A41,C66="No"),ROUND(3000/C67,2),IF(AND(C65=A41,C66="Sí"),ROUND(6000/C67,2),""))))</f>
        <v>0</v>
      </c>
      <c r="D77" s="5"/>
      <c r="E77" s="5"/>
      <c r="F77" s="5"/>
      <c r="G77" s="5"/>
      <c r="H77" s="5"/>
      <c r="I77" s="5"/>
      <c r="J77" s="5"/>
      <c r="K77" s="5"/>
    </row>
    <row r="78" spans="1:12" x14ac:dyDescent="0.45">
      <c r="A78" s="2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2" x14ac:dyDescent="0.45">
      <c r="A79" s="25"/>
      <c r="B79" s="5" t="s">
        <v>248</v>
      </c>
      <c r="C79" s="5"/>
      <c r="D79" s="5"/>
      <c r="E79" s="5"/>
      <c r="F79" s="5"/>
      <c r="G79" s="5"/>
      <c r="H79" s="5"/>
      <c r="I79" s="5"/>
      <c r="J79" s="5"/>
      <c r="K79" s="5"/>
    </row>
    <row r="80" spans="1:12" x14ac:dyDescent="0.45">
      <c r="A80" s="25"/>
      <c r="B80" s="5" t="s">
        <v>249</v>
      </c>
      <c r="C80" s="39">
        <f>L48-C34</f>
        <v>54263.48</v>
      </c>
      <c r="D80" s="5"/>
      <c r="E80" s="5"/>
      <c r="F80" s="5"/>
      <c r="G80" s="5"/>
      <c r="H80" s="5"/>
      <c r="I80" s="5"/>
      <c r="J80" s="5"/>
      <c r="K80" s="5"/>
    </row>
    <row r="81" spans="1:11" x14ac:dyDescent="0.45">
      <c r="A81" s="25"/>
      <c r="B81" s="5" t="s">
        <v>250</v>
      </c>
      <c r="C81" s="39">
        <f>C34</f>
        <v>0</v>
      </c>
      <c r="D81" s="5"/>
      <c r="E81" s="5"/>
      <c r="F81" s="5"/>
      <c r="G81" s="5"/>
      <c r="H81" s="5"/>
      <c r="I81" s="5"/>
      <c r="J81" s="5"/>
      <c r="K81" s="5"/>
    </row>
    <row r="82" spans="1:11" x14ac:dyDescent="0.45">
      <c r="A82" s="25"/>
      <c r="B82" s="5" t="s">
        <v>251</v>
      </c>
      <c r="C82" s="40">
        <f>MAX(B84:B89)</f>
        <v>15778.9876</v>
      </c>
      <c r="D82" s="5"/>
      <c r="E82" s="5"/>
      <c r="F82" s="5"/>
      <c r="G82" s="5"/>
      <c r="H82" s="5"/>
      <c r="I82" s="5"/>
      <c r="J82" s="5"/>
      <c r="K82" s="5"/>
    </row>
    <row r="83" spans="1:11" x14ac:dyDescent="0.45">
      <c r="A83" s="25"/>
      <c r="B83" s="5" t="s">
        <v>253</v>
      </c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45">
      <c r="A84" s="25"/>
      <c r="B84" s="5" t="str">
        <f>IF(C80&lt;12450,0+(C80)*0.19,"")</f>
        <v/>
      </c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45">
      <c r="A85" s="25"/>
      <c r="B85" s="5" t="str">
        <f>IF(AND(C80&gt;=12450,C80&lt;20200),2365.5+(C80-12450)*0.24,"")</f>
        <v/>
      </c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45">
      <c r="A86" s="25"/>
      <c r="B86" s="5" t="str">
        <f>IF(AND(C80&gt;=20200,C80&lt;35200),4225.5+(C80-20200)*0.3,"")</f>
        <v/>
      </c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45">
      <c r="A87" s="25"/>
      <c r="B87" s="5">
        <f>IF(AND(C80&gt;=35200,C80&lt;60000),8725.5+(C80-35200)*0.37,"")</f>
        <v>15778.9876</v>
      </c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45">
      <c r="A88" s="25"/>
      <c r="B88" s="5" t="str">
        <f>IF(AND(C80&gt;=60000,C80&lt;300000),17901.5+(C80-60000)*0.45,"")</f>
        <v/>
      </c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45">
      <c r="A89" s="25"/>
      <c r="B89" s="5" t="str">
        <f>IF(C80&gt;300000,125901.5+(C80-300000)*0.47,"")</f>
        <v/>
      </c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45">
      <c r="A90" s="25"/>
      <c r="B90" s="5" t="s">
        <v>252</v>
      </c>
      <c r="C90" s="40">
        <f>MAX(B91:B96)</f>
        <v>0</v>
      </c>
      <c r="D90" s="5"/>
      <c r="E90" s="5"/>
      <c r="F90" s="5"/>
      <c r="G90" s="5"/>
      <c r="H90" s="5"/>
      <c r="I90" s="5"/>
      <c r="J90" s="5"/>
      <c r="K90" s="5"/>
    </row>
    <row r="91" spans="1:11" x14ac:dyDescent="0.45">
      <c r="A91" s="25"/>
      <c r="B91" s="5">
        <f>IF(C81&lt;12450,0+(C81)*0.19,"")</f>
        <v>0</v>
      </c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45">
      <c r="A92" s="25"/>
      <c r="B92" s="5" t="str">
        <f>IF(AND(C81&gt;=12450,C81&lt;20200),2365.5+(C81-12450)*0.24,"")</f>
        <v/>
      </c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45">
      <c r="A93" s="25"/>
      <c r="B93" s="5" t="str">
        <f>IF(AND(C81&gt;=20200,C81&lt;35200),4225.5+(C81-20200)*0.3,"")</f>
        <v/>
      </c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45">
      <c r="A94" s="25"/>
      <c r="B94" s="5" t="str">
        <f>IF(AND(C81&gt;=35200,C81&lt;60000),8725.5+(C81-35200)*0.37,"")</f>
        <v/>
      </c>
      <c r="C94" s="5"/>
      <c r="D94" s="5"/>
      <c r="E94" s="5"/>
      <c r="F94" s="5"/>
      <c r="G94" s="5"/>
      <c r="H94" s="5"/>
      <c r="I94" s="5"/>
      <c r="J94" s="5"/>
      <c r="K94" s="5"/>
    </row>
    <row r="95" spans="1:11" x14ac:dyDescent="0.45">
      <c r="A95" s="25"/>
      <c r="B95" s="5" t="str">
        <f>IF(AND(C81&gt;=60000,C81&lt;300000),17901.5+(C81-60000)*0.45,"")</f>
        <v/>
      </c>
      <c r="C95" s="5"/>
      <c r="D95" s="5"/>
      <c r="E95" s="5"/>
      <c r="F95" s="5"/>
      <c r="G95" s="5"/>
      <c r="H95" s="5"/>
      <c r="I95" s="5"/>
      <c r="J95" s="5"/>
      <c r="K95" s="5"/>
    </row>
    <row r="96" spans="1:11" x14ac:dyDescent="0.45">
      <c r="B96" s="5" t="str">
        <f>IF(C81&gt;300000,125901.5+(C81-300000)*0.47,"")</f>
        <v/>
      </c>
      <c r="C96" s="5"/>
      <c r="D96" s="5"/>
      <c r="E96" s="5"/>
      <c r="F96" s="5"/>
      <c r="G96" s="5"/>
      <c r="H96" s="5"/>
      <c r="I96" s="5"/>
      <c r="J96" s="5"/>
      <c r="K96" s="5"/>
    </row>
    <row r="97" spans="2:11" x14ac:dyDescent="0.45">
      <c r="B97" s="5" t="s">
        <v>254</v>
      </c>
      <c r="C97" s="39">
        <f>IF(AND(C34&gt;0,L48-C34&gt;0),C90+C82,C107)</f>
        <v>15778.9876</v>
      </c>
      <c r="D97" s="5"/>
      <c r="E97" s="5"/>
      <c r="F97" s="5"/>
      <c r="G97" s="5"/>
      <c r="H97" s="5"/>
      <c r="I97" s="5"/>
      <c r="J97" s="5"/>
      <c r="K97" s="5"/>
    </row>
    <row r="98" spans="2:11" x14ac:dyDescent="0.45">
      <c r="B98" s="5" t="s">
        <v>255</v>
      </c>
      <c r="C98" s="40">
        <f>IF(AND(C34&gt;0,L48-C34&gt;0),L47+1980,L47)</f>
        <v>5550</v>
      </c>
      <c r="D98" s="5"/>
      <c r="E98" s="5"/>
      <c r="F98" s="5"/>
      <c r="G98" s="5"/>
      <c r="H98" s="5"/>
      <c r="I98" s="5"/>
      <c r="J98" s="5"/>
      <c r="K98" s="5"/>
    </row>
    <row r="99" spans="2:11" x14ac:dyDescent="0.45">
      <c r="B99" s="5" t="s">
        <v>256</v>
      </c>
      <c r="C99" s="40">
        <f>MAX(B100:B105)</f>
        <v>1054.5</v>
      </c>
      <c r="D99" s="5"/>
      <c r="E99" s="5"/>
      <c r="F99" s="5"/>
      <c r="G99" s="5"/>
      <c r="H99" s="5"/>
      <c r="I99" s="5"/>
      <c r="J99" s="5"/>
      <c r="K99" s="5"/>
    </row>
    <row r="100" spans="2:11" x14ac:dyDescent="0.45">
      <c r="B100" s="5">
        <f>IF(C98&lt;12450,0+(C98)*0.19,"")</f>
        <v>1054.5</v>
      </c>
      <c r="C100" s="5"/>
      <c r="D100" s="5"/>
      <c r="E100" s="5"/>
      <c r="F100" s="5"/>
      <c r="G100" s="5"/>
      <c r="H100" s="5"/>
      <c r="I100" s="5"/>
      <c r="J100" s="5"/>
      <c r="K100" s="5"/>
    </row>
    <row r="101" spans="2:11" x14ac:dyDescent="0.45">
      <c r="B101" s="5" t="str">
        <f>IF(AND(C98&gt;=12450,C98&lt;20200),2365.5+(C98-12450)*0.24,"")</f>
        <v/>
      </c>
      <c r="C101" s="5"/>
      <c r="D101" s="5"/>
      <c r="E101" s="5"/>
      <c r="F101" s="5"/>
      <c r="G101" s="5"/>
      <c r="H101" s="5"/>
      <c r="I101" s="5"/>
      <c r="J101" s="5"/>
      <c r="K101" s="5"/>
    </row>
    <row r="102" spans="2:11" x14ac:dyDescent="0.45">
      <c r="B102" s="5" t="str">
        <f>IF(AND(C98&gt;=20200,C98&lt;35200),4225.5+(C98-20200)*0.3,"")</f>
        <v/>
      </c>
      <c r="C102" s="5"/>
      <c r="D102" s="5"/>
      <c r="E102" s="5"/>
      <c r="F102" s="5"/>
      <c r="G102" s="5"/>
      <c r="H102" s="5"/>
      <c r="I102" s="5"/>
      <c r="J102" s="5"/>
      <c r="K102" s="5"/>
    </row>
    <row r="103" spans="2:11" x14ac:dyDescent="0.45">
      <c r="B103" s="5" t="str">
        <f>IF(AND(C98&gt;=35200,C98&lt;60000),8725.5+(C98-35200)*0.37,"")</f>
        <v/>
      </c>
      <c r="C103" s="5"/>
      <c r="D103" s="5"/>
      <c r="E103" s="5"/>
      <c r="F103" s="5"/>
      <c r="G103" s="5"/>
      <c r="H103" s="5"/>
      <c r="I103" s="5"/>
      <c r="J103" s="5"/>
      <c r="K103" s="5"/>
    </row>
    <row r="104" spans="2:11" x14ac:dyDescent="0.45">
      <c r="B104" s="5" t="str">
        <f>IF(AND(C98&gt;=60000,C98&lt;300000),17901.5+(C98-60000)*0.45,"")</f>
        <v/>
      </c>
      <c r="C104" s="5"/>
      <c r="D104" s="5"/>
      <c r="E104" s="5"/>
      <c r="F104" s="5"/>
      <c r="G104" s="5"/>
      <c r="H104" s="5"/>
      <c r="I104" s="5"/>
      <c r="J104" s="5"/>
      <c r="K104" s="5"/>
    </row>
    <row r="105" spans="2:11" x14ac:dyDescent="0.45">
      <c r="B105" s="5" t="str">
        <f>IF(C98&gt;300000,125901.5+(C98-300000)*0.47,"")</f>
        <v/>
      </c>
      <c r="C105" s="5"/>
      <c r="D105" s="5"/>
      <c r="E105" s="5"/>
      <c r="F105" s="5"/>
      <c r="G105" s="5"/>
      <c r="H105" s="5"/>
      <c r="I105" s="5"/>
      <c r="J105" s="5"/>
      <c r="K105" s="5"/>
    </row>
    <row r="106" spans="2:11" x14ac:dyDescent="0.45">
      <c r="B106" s="5" t="s">
        <v>257</v>
      </c>
      <c r="C106" s="41">
        <f>IF(C97&gt;C99,C97-C99,L59)</f>
        <v>14724.4876</v>
      </c>
      <c r="D106" s="5"/>
      <c r="E106" s="5"/>
      <c r="F106" s="5"/>
      <c r="G106" s="5"/>
      <c r="H106" s="5"/>
      <c r="I106" s="5"/>
      <c r="J106" s="5"/>
      <c r="K106" s="5"/>
    </row>
    <row r="107" spans="2:11" x14ac:dyDescent="0.45">
      <c r="B107" s="5" t="s">
        <v>258</v>
      </c>
      <c r="C107" s="40">
        <f>MAX(B108:B114)</f>
        <v>15778.9876</v>
      </c>
      <c r="D107" s="5"/>
      <c r="E107" s="5"/>
      <c r="F107" s="5"/>
      <c r="G107" s="5"/>
      <c r="H107" s="5"/>
      <c r="I107" s="5"/>
      <c r="J107" s="5"/>
      <c r="K107" s="5"/>
    </row>
    <row r="108" spans="2:11" x14ac:dyDescent="0.45">
      <c r="B108" s="5" t="str">
        <f>IF(L48&lt;12450,0+(L48)*0.19,"")</f>
        <v/>
      </c>
      <c r="C108" s="5"/>
      <c r="D108" s="5"/>
      <c r="E108" s="5"/>
      <c r="F108" s="5"/>
      <c r="G108" s="5"/>
      <c r="H108" s="5"/>
      <c r="I108" s="5"/>
      <c r="J108" s="5"/>
      <c r="K108" s="5"/>
    </row>
    <row r="109" spans="2:11" x14ac:dyDescent="0.45">
      <c r="B109" s="5" t="str">
        <f>IF(AND(L48&gt;=12450,L48&lt;20200),2365.5+(L48-12450)*0.24,"")</f>
        <v/>
      </c>
      <c r="C109" s="5"/>
      <c r="D109" s="5"/>
      <c r="E109" s="5"/>
      <c r="F109" s="5"/>
      <c r="G109" s="5"/>
      <c r="H109" s="5"/>
      <c r="I109" s="5"/>
      <c r="J109" s="5"/>
      <c r="K109" s="5"/>
    </row>
    <row r="110" spans="2:11" x14ac:dyDescent="0.45">
      <c r="B110" s="5" t="str">
        <f>IF(AND(L48&gt;=20200,L48&lt;35200),4225.5+(L48-20200)*0.3,"")</f>
        <v/>
      </c>
      <c r="C110" s="5"/>
      <c r="D110" s="5"/>
      <c r="E110" s="5"/>
      <c r="F110" s="5"/>
      <c r="G110" s="5"/>
      <c r="H110" s="5"/>
      <c r="I110" s="5"/>
      <c r="J110" s="5"/>
      <c r="K110" s="5"/>
    </row>
    <row r="111" spans="2:11" x14ac:dyDescent="0.45">
      <c r="B111" s="5">
        <f>IF(AND(L48&gt;=35200,L48&lt;60000),8725.5+(L48-35200)*0.37,"")</f>
        <v>15778.9876</v>
      </c>
      <c r="C111" s="5"/>
      <c r="D111" s="5"/>
      <c r="E111" s="5"/>
      <c r="F111" s="5"/>
      <c r="G111" s="5"/>
      <c r="H111" s="5"/>
      <c r="I111" s="5"/>
      <c r="J111" s="5"/>
      <c r="K111" s="5"/>
    </row>
    <row r="112" spans="2:11" x14ac:dyDescent="0.45">
      <c r="B112" s="5" t="str">
        <f>IF(AND(L48&gt;=60000,L48&lt;300000),17901.5+(L48-60000)*0.45,"")</f>
        <v/>
      </c>
      <c r="C112" s="5"/>
      <c r="D112" s="5"/>
      <c r="E112" s="5"/>
      <c r="F112" s="5"/>
      <c r="G112" s="5"/>
      <c r="H112" s="5"/>
      <c r="I112" s="5"/>
      <c r="J112" s="5"/>
      <c r="K112" s="5"/>
    </row>
    <row r="113" spans="2:11" x14ac:dyDescent="0.45">
      <c r="B113" s="5" t="str">
        <f>IF(L48&gt;300000,125901.5+(L48-300000)*0.47,"")</f>
        <v/>
      </c>
      <c r="C113" s="5"/>
      <c r="D113" s="5"/>
      <c r="E113" s="5"/>
      <c r="F113" s="5"/>
      <c r="G113" s="5"/>
      <c r="H113" s="5"/>
      <c r="I113" s="5"/>
      <c r="J113" s="5"/>
      <c r="K113" s="5"/>
    </row>
    <row r="114" spans="2:11" x14ac:dyDescent="0.45"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2:11" x14ac:dyDescent="0.45"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2:11" x14ac:dyDescent="0.45">
      <c r="B116" s="5" t="s">
        <v>259</v>
      </c>
      <c r="C116" s="5"/>
      <c r="D116" s="5"/>
      <c r="E116" s="5"/>
      <c r="F116" s="5"/>
      <c r="G116" s="5"/>
      <c r="H116" s="5"/>
      <c r="I116" s="5"/>
      <c r="J116" s="5"/>
      <c r="K116" s="5"/>
    </row>
    <row r="117" spans="2:11" x14ac:dyDescent="0.45">
      <c r="B117" s="5" t="s">
        <v>261</v>
      </c>
      <c r="C117" s="5"/>
      <c r="D117" s="5"/>
      <c r="E117" s="5"/>
      <c r="F117" s="5"/>
      <c r="G117" s="5"/>
      <c r="H117" s="5"/>
      <c r="I117" s="5"/>
      <c r="J117" s="5"/>
      <c r="K117" s="5"/>
    </row>
    <row r="118" spans="2:11" x14ac:dyDescent="0.45">
      <c r="B118" s="5" t="s">
        <v>260</v>
      </c>
      <c r="C118" s="5"/>
      <c r="D118" s="5"/>
      <c r="E118" s="5"/>
      <c r="F118" s="5"/>
      <c r="G118" s="5"/>
      <c r="H118" s="5"/>
      <c r="I118" s="5"/>
      <c r="J118" s="5"/>
      <c r="K118" s="5"/>
    </row>
    <row r="119" spans="2:11" x14ac:dyDescent="0.45">
      <c r="B119" s="5">
        <f>IF(AND(L35&lt;=35200,C68=1,C35=1),(L35-(17270+C118+C119))*0.43,0)</f>
        <v>0</v>
      </c>
      <c r="C119" s="5"/>
      <c r="D119" s="5"/>
      <c r="E119" s="5"/>
      <c r="F119" s="5"/>
      <c r="G119" s="5"/>
      <c r="H119" s="5"/>
      <c r="I119" s="5"/>
      <c r="J119" s="5"/>
      <c r="K119" s="5"/>
    </row>
    <row r="120" spans="2:11" x14ac:dyDescent="0.45">
      <c r="B120" s="5">
        <f>IF(AND(L35&lt;=35200,C68=1,C35&gt;1),(L35-(18617+C118+C119))*0.43,0)</f>
        <v>0</v>
      </c>
      <c r="C120" s="5"/>
      <c r="D120" s="5"/>
      <c r="E120" s="5"/>
      <c r="F120" s="5"/>
      <c r="G120" s="5"/>
      <c r="H120" s="5"/>
      <c r="I120" s="5"/>
      <c r="J120" s="5"/>
      <c r="K120" s="5"/>
    </row>
    <row r="121" spans="2:11" x14ac:dyDescent="0.45">
      <c r="B121" s="5">
        <f>IF(AND(L35&lt;=35200,C68=2,C35=0),(L35-(16696+C118+C119))*0.43,0)</f>
        <v>0</v>
      </c>
      <c r="C121" s="5"/>
      <c r="D121" s="5"/>
      <c r="E121" s="5"/>
      <c r="F121" s="5"/>
      <c r="G121" s="5"/>
      <c r="H121" s="5"/>
      <c r="I121" s="5"/>
      <c r="J121" s="5"/>
      <c r="K121" s="5"/>
    </row>
    <row r="122" spans="2:11" x14ac:dyDescent="0.45">
      <c r="B122" s="5">
        <f>IF(AND(L35&lt;=35200,C68=2,C35=1),(L35-(17894+C118+C119))*0.43,0)</f>
        <v>0</v>
      </c>
      <c r="C122" s="5"/>
      <c r="D122" s="5"/>
      <c r="E122" s="5"/>
      <c r="F122" s="5"/>
      <c r="G122" s="5"/>
      <c r="H122" s="5"/>
      <c r="I122" s="5"/>
      <c r="J122" s="5"/>
      <c r="K122" s="5"/>
    </row>
    <row r="123" spans="2:11" x14ac:dyDescent="0.45">
      <c r="B123" s="5">
        <f>IF(AND(L35&lt;=35200,C68=2,C35&gt;1),(L35-(19241+C118+C119))*0.43,0)</f>
        <v>0</v>
      </c>
      <c r="C123" s="5"/>
      <c r="D123" s="5"/>
      <c r="E123" s="5"/>
      <c r="F123" s="5"/>
      <c r="G123" s="5"/>
      <c r="H123" s="5"/>
      <c r="I123" s="5"/>
      <c r="J123" s="5"/>
      <c r="K123" s="5"/>
    </row>
    <row r="124" spans="2:11" x14ac:dyDescent="0.45">
      <c r="B124" s="5">
        <f>IF(AND(L35&lt;=35200,C68=3,C35=0),(L35-(15000+C118+C119))*0.43,0)</f>
        <v>0</v>
      </c>
      <c r="C124" s="5"/>
      <c r="D124" s="5"/>
      <c r="E124" s="5"/>
      <c r="F124" s="5"/>
      <c r="G124" s="5"/>
      <c r="H124" s="5"/>
      <c r="I124" s="5"/>
      <c r="J124" s="5"/>
      <c r="K124" s="5"/>
    </row>
    <row r="125" spans="2:11" x14ac:dyDescent="0.45">
      <c r="B125" s="5">
        <f>IF(AND(L35&lt;=35200,C68=3,C35=1),(L35-(15599+C118+C119))*0.43,0)</f>
        <v>0</v>
      </c>
      <c r="C125" s="5"/>
      <c r="D125" s="5"/>
      <c r="E125" s="5"/>
      <c r="F125" s="5"/>
      <c r="G125" s="5"/>
      <c r="H125" s="5"/>
      <c r="I125" s="5"/>
      <c r="J125" s="5"/>
      <c r="K125" s="5"/>
    </row>
    <row r="126" spans="2:11" x14ac:dyDescent="0.45">
      <c r="B126" s="5">
        <f>IF(AND(L35&lt;=35200,C68=3,C35&gt;1),(L35-(16272+C118+C119))*0.43,0)</f>
        <v>0</v>
      </c>
      <c r="C126" s="5"/>
      <c r="D126" s="5"/>
      <c r="E126" s="5"/>
      <c r="F126" s="5"/>
      <c r="G126" s="5"/>
      <c r="H126" s="5"/>
      <c r="I126" s="5"/>
      <c r="J126" s="5"/>
      <c r="K126" s="5"/>
    </row>
    <row r="127" spans="2:11" x14ac:dyDescent="0.45">
      <c r="B127" s="5" t="s">
        <v>263</v>
      </c>
      <c r="C127" s="5" t="str">
        <f>IF(MAX(B119:B126)&gt;0,"Sí","No")</f>
        <v>No</v>
      </c>
      <c r="D127" s="5"/>
      <c r="E127" s="5"/>
      <c r="F127" s="5"/>
      <c r="G127" s="5"/>
      <c r="H127" s="5"/>
      <c r="I127" s="5"/>
      <c r="J127" s="5"/>
      <c r="K127" s="5"/>
    </row>
    <row r="128" spans="2:11" x14ac:dyDescent="0.45">
      <c r="B128" s="5" t="s">
        <v>264</v>
      </c>
      <c r="C128" s="5">
        <f>MAX(B119:B126)</f>
        <v>0</v>
      </c>
      <c r="D128" s="5"/>
      <c r="E128" s="5"/>
      <c r="F128" s="5"/>
      <c r="G128" s="5"/>
      <c r="H128" s="5"/>
      <c r="I128" s="5"/>
      <c r="J128" s="5"/>
      <c r="K128" s="5"/>
    </row>
    <row r="129" spans="2:11" x14ac:dyDescent="0.45">
      <c r="B129" s="5" t="s">
        <v>262</v>
      </c>
      <c r="C129" s="41">
        <f>IF(C127="No",C106,IF(C106&gt;C128,C128,C106))</f>
        <v>14724.4876</v>
      </c>
      <c r="D129" s="5"/>
      <c r="E129" s="5"/>
      <c r="F129" s="5"/>
      <c r="G129" s="5"/>
      <c r="H129" s="5"/>
      <c r="I129" s="5"/>
      <c r="J129" s="5"/>
      <c r="K129" s="5"/>
    </row>
    <row r="130" spans="2:11" x14ac:dyDescent="0.45"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2:11" x14ac:dyDescent="0.45"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2:11" x14ac:dyDescent="0.45">
      <c r="B132" s="5" t="s">
        <v>319</v>
      </c>
      <c r="C132" s="5"/>
      <c r="D132" s="5"/>
      <c r="E132" s="5"/>
      <c r="F132" s="5"/>
      <c r="G132" s="5"/>
      <c r="H132" s="5"/>
      <c r="I132" s="5"/>
      <c r="J132" s="5"/>
      <c r="K132" s="5"/>
    </row>
    <row r="133" spans="2:11" x14ac:dyDescent="0.45">
      <c r="B133" s="80" t="s">
        <v>317</v>
      </c>
      <c r="C133" s="5" t="s">
        <v>27</v>
      </c>
      <c r="D133" s="39">
        <f>Datos!G64</f>
        <v>924.56</v>
      </c>
      <c r="E133" s="5">
        <f>IF(AND($C$15=B133,$C$17=C133),D133,0)</f>
        <v>0</v>
      </c>
      <c r="F133" s="5"/>
      <c r="G133" s="5">
        <f>IF($C$16=1,0.25,IF($C$16=2,0.4,IF($C$16=$D$10,0.6,0)))</f>
        <v>0</v>
      </c>
      <c r="H133" s="5"/>
      <c r="I133" s="5">
        <f>E133*G133</f>
        <v>0</v>
      </c>
      <c r="J133" s="5"/>
      <c r="K133" s="5"/>
    </row>
    <row r="134" spans="2:11" x14ac:dyDescent="0.45">
      <c r="B134" s="80" t="s">
        <v>317</v>
      </c>
      <c r="C134" s="5" t="s">
        <v>28</v>
      </c>
      <c r="D134" s="39">
        <f>Datos!G65</f>
        <v>831.41</v>
      </c>
      <c r="E134" s="5">
        <f t="shared" ref="E134:E148" si="2">IF(AND($C$15=B134,$C$17=C134),D134,0)</f>
        <v>0</v>
      </c>
      <c r="F134" s="5"/>
      <c r="G134" s="5">
        <f t="shared" ref="G134:G148" si="3">IF($C$16=1,0.25,IF($C$16=2,0.4,IF($C$16=$D$10,0.6,0)))</f>
        <v>0</v>
      </c>
      <c r="H134" s="5"/>
      <c r="I134" s="5">
        <f t="shared" ref="I134:I148" si="4">E134*G134</f>
        <v>0</v>
      </c>
      <c r="J134" s="5"/>
      <c r="K134" s="5"/>
    </row>
    <row r="135" spans="2:11" x14ac:dyDescent="0.45">
      <c r="B135" s="80" t="s">
        <v>317</v>
      </c>
      <c r="C135" s="5" t="s">
        <v>29</v>
      </c>
      <c r="D135" s="39">
        <f>Datos!G66</f>
        <v>783.39</v>
      </c>
      <c r="E135" s="5">
        <f t="shared" si="2"/>
        <v>0</v>
      </c>
      <c r="F135" s="5"/>
      <c r="G135" s="5">
        <f t="shared" si="3"/>
        <v>0</v>
      </c>
      <c r="H135" s="5"/>
      <c r="I135" s="5">
        <f t="shared" si="4"/>
        <v>0</v>
      </c>
      <c r="J135" s="5"/>
      <c r="K135" s="5"/>
    </row>
    <row r="136" spans="2:11" x14ac:dyDescent="0.45">
      <c r="B136" s="80" t="s">
        <v>317</v>
      </c>
      <c r="C136" s="5" t="s">
        <v>30</v>
      </c>
      <c r="D136" s="39">
        <f>Datos!G67</f>
        <v>740.87</v>
      </c>
      <c r="E136" s="5">
        <f t="shared" si="2"/>
        <v>0</v>
      </c>
      <c r="F136" s="5"/>
      <c r="G136" s="5">
        <f t="shared" si="3"/>
        <v>0</v>
      </c>
      <c r="H136" s="5"/>
      <c r="I136" s="5">
        <f t="shared" si="4"/>
        <v>0</v>
      </c>
      <c r="J136" s="5"/>
      <c r="K136" s="5"/>
    </row>
    <row r="137" spans="2:11" x14ac:dyDescent="0.45">
      <c r="B137" s="80" t="s">
        <v>316</v>
      </c>
      <c r="C137" s="5" t="s">
        <v>27</v>
      </c>
      <c r="D137" s="39">
        <f>Datos!G32</f>
        <v>830.65</v>
      </c>
      <c r="E137" s="5">
        <f t="shared" si="2"/>
        <v>0</v>
      </c>
      <c r="F137" s="5"/>
      <c r="G137" s="5">
        <f t="shared" si="3"/>
        <v>0</v>
      </c>
      <c r="H137" s="5"/>
      <c r="I137" s="5">
        <f t="shared" si="4"/>
        <v>0</v>
      </c>
      <c r="J137" s="5"/>
      <c r="K137" s="5"/>
    </row>
    <row r="138" spans="2:11" x14ac:dyDescent="0.45">
      <c r="B138" s="80" t="s">
        <v>316</v>
      </c>
      <c r="C138" s="5" t="s">
        <v>28</v>
      </c>
      <c r="D138" s="39">
        <f>Datos!G33</f>
        <v>783.12</v>
      </c>
      <c r="E138" s="5">
        <f t="shared" si="2"/>
        <v>0</v>
      </c>
      <c r="F138" s="5"/>
      <c r="G138" s="5">
        <f t="shared" si="3"/>
        <v>0</v>
      </c>
      <c r="H138" s="5"/>
      <c r="I138" s="5">
        <f t="shared" si="4"/>
        <v>0</v>
      </c>
      <c r="J138" s="5"/>
      <c r="K138" s="5"/>
    </row>
    <row r="139" spans="2:11" x14ac:dyDescent="0.45">
      <c r="B139" s="80" t="s">
        <v>316</v>
      </c>
      <c r="C139" s="5" t="s">
        <v>29</v>
      </c>
      <c r="D139" s="39">
        <f>Datos!G34</f>
        <v>645.26</v>
      </c>
      <c r="E139" s="5">
        <f t="shared" si="2"/>
        <v>0</v>
      </c>
      <c r="F139" s="5"/>
      <c r="G139" s="5">
        <f t="shared" si="3"/>
        <v>0</v>
      </c>
      <c r="H139" s="5"/>
      <c r="I139" s="5">
        <f t="shared" si="4"/>
        <v>0</v>
      </c>
      <c r="J139" s="5"/>
      <c r="K139" s="5"/>
    </row>
    <row r="140" spans="2:11" x14ac:dyDescent="0.45">
      <c r="B140" s="80" t="s">
        <v>316</v>
      </c>
      <c r="C140" s="5" t="s">
        <v>30</v>
      </c>
      <c r="D140" s="39">
        <f>Datos!G35</f>
        <v>528.33000000000004</v>
      </c>
      <c r="E140" s="5">
        <f t="shared" si="2"/>
        <v>0</v>
      </c>
      <c r="F140" s="5"/>
      <c r="G140" s="5">
        <f t="shared" si="3"/>
        <v>0</v>
      </c>
      <c r="H140" s="5"/>
      <c r="I140" s="5">
        <f t="shared" si="4"/>
        <v>0</v>
      </c>
      <c r="J140" s="5"/>
      <c r="K140" s="5"/>
    </row>
    <row r="141" spans="2:11" x14ac:dyDescent="0.45">
      <c r="B141" s="80" t="s">
        <v>316</v>
      </c>
      <c r="C141" s="5" t="s">
        <v>31</v>
      </c>
      <c r="D141" s="39">
        <f>Datos!G36</f>
        <v>422.26</v>
      </c>
      <c r="E141" s="5">
        <f t="shared" si="2"/>
        <v>0</v>
      </c>
      <c r="F141" s="5"/>
      <c r="G141" s="5">
        <f t="shared" si="3"/>
        <v>0</v>
      </c>
      <c r="H141" s="5"/>
      <c r="I141" s="5">
        <f t="shared" si="4"/>
        <v>0</v>
      </c>
      <c r="J141" s="5"/>
      <c r="K141" s="5"/>
    </row>
    <row r="142" spans="2:11" x14ac:dyDescent="0.45">
      <c r="B142" s="80" t="s">
        <v>316</v>
      </c>
      <c r="C142" s="5" t="s">
        <v>32</v>
      </c>
      <c r="D142" s="39">
        <f>Datos!G37</f>
        <v>312.52</v>
      </c>
      <c r="E142" s="5">
        <f t="shared" si="2"/>
        <v>0</v>
      </c>
      <c r="F142" s="5"/>
      <c r="G142" s="5">
        <f t="shared" si="3"/>
        <v>0</v>
      </c>
      <c r="H142" s="5"/>
      <c r="I142" s="5">
        <f t="shared" si="4"/>
        <v>0</v>
      </c>
      <c r="J142" s="5"/>
      <c r="K142" s="5"/>
    </row>
    <row r="143" spans="2:11" x14ac:dyDescent="0.45">
      <c r="B143" s="5" t="s">
        <v>136</v>
      </c>
      <c r="C143" s="5" t="s">
        <v>27</v>
      </c>
      <c r="D143" s="39">
        <f>Datos!G48</f>
        <v>908.67</v>
      </c>
      <c r="E143" s="5">
        <f t="shared" si="2"/>
        <v>0</v>
      </c>
      <c r="F143" s="5"/>
      <c r="G143" s="5">
        <f t="shared" si="3"/>
        <v>0</v>
      </c>
      <c r="H143" s="5"/>
      <c r="I143" s="5">
        <f t="shared" si="4"/>
        <v>0</v>
      </c>
      <c r="J143" s="5"/>
      <c r="K143" s="5"/>
    </row>
    <row r="144" spans="2:11" x14ac:dyDescent="0.45">
      <c r="B144" s="5" t="s">
        <v>136</v>
      </c>
      <c r="C144" s="5" t="s">
        <v>28</v>
      </c>
      <c r="D144" s="39">
        <f>Datos!G49</f>
        <v>861.14</v>
      </c>
      <c r="E144" s="5">
        <f t="shared" si="2"/>
        <v>0</v>
      </c>
      <c r="F144" s="5"/>
      <c r="G144" s="5">
        <f t="shared" si="3"/>
        <v>0</v>
      </c>
      <c r="H144" s="5"/>
      <c r="I144" s="5">
        <f t="shared" si="4"/>
        <v>0</v>
      </c>
      <c r="J144" s="5"/>
      <c r="K144" s="5"/>
    </row>
    <row r="145" spans="2:11" x14ac:dyDescent="0.45">
      <c r="B145" s="5" t="s">
        <v>136</v>
      </c>
      <c r="C145" s="5" t="s">
        <v>29</v>
      </c>
      <c r="D145" s="39">
        <f>Datos!G50</f>
        <v>723.24</v>
      </c>
      <c r="E145" s="5">
        <f t="shared" si="2"/>
        <v>0</v>
      </c>
      <c r="F145" s="5"/>
      <c r="G145" s="5">
        <f t="shared" si="3"/>
        <v>0</v>
      </c>
      <c r="H145" s="5"/>
      <c r="I145" s="5">
        <f t="shared" si="4"/>
        <v>0</v>
      </c>
      <c r="J145" s="5"/>
      <c r="K145" s="5"/>
    </row>
    <row r="146" spans="2:11" x14ac:dyDescent="0.45">
      <c r="B146" s="5" t="s">
        <v>136</v>
      </c>
      <c r="C146" s="5" t="s">
        <v>30</v>
      </c>
      <c r="D146" s="39">
        <f>Datos!G51</f>
        <v>606.33000000000004</v>
      </c>
      <c r="E146" s="5">
        <f t="shared" si="2"/>
        <v>0</v>
      </c>
      <c r="F146" s="5"/>
      <c r="G146" s="5">
        <f t="shared" si="3"/>
        <v>0</v>
      </c>
      <c r="H146" s="5"/>
      <c r="I146" s="5">
        <f t="shared" si="4"/>
        <v>0</v>
      </c>
      <c r="J146" s="5"/>
      <c r="K146" s="5"/>
    </row>
    <row r="147" spans="2:11" x14ac:dyDescent="0.45">
      <c r="B147" s="5" t="s">
        <v>136</v>
      </c>
      <c r="C147" s="5" t="s">
        <v>31</v>
      </c>
      <c r="D147" s="39">
        <f>Datos!G52</f>
        <v>500.28</v>
      </c>
      <c r="E147" s="5">
        <f t="shared" si="2"/>
        <v>0</v>
      </c>
      <c r="F147" s="5"/>
      <c r="G147" s="5">
        <f t="shared" si="3"/>
        <v>0</v>
      </c>
      <c r="H147" s="5"/>
      <c r="I147" s="5">
        <f t="shared" si="4"/>
        <v>0</v>
      </c>
      <c r="J147" s="5"/>
      <c r="K147" s="5"/>
    </row>
    <row r="148" spans="2:11" x14ac:dyDescent="0.45">
      <c r="B148" s="5" t="s">
        <v>136</v>
      </c>
      <c r="C148" s="5" t="s">
        <v>32</v>
      </c>
      <c r="D148" s="39">
        <f>Datos!G53</f>
        <v>390.53</v>
      </c>
      <c r="E148" s="5">
        <f t="shared" si="2"/>
        <v>0</v>
      </c>
      <c r="F148" s="5"/>
      <c r="G148" s="5">
        <f t="shared" si="3"/>
        <v>0</v>
      </c>
      <c r="H148" s="5"/>
      <c r="I148" s="5">
        <f t="shared" si="4"/>
        <v>0</v>
      </c>
      <c r="J148" s="5"/>
      <c r="K148" s="5"/>
    </row>
    <row r="149" spans="2:11" x14ac:dyDescent="0.45"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2:11" x14ac:dyDescent="0.45"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2:11" x14ac:dyDescent="0.45"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2:11" x14ac:dyDescent="0.45"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2:11" x14ac:dyDescent="0.45"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2:11" x14ac:dyDescent="0.45"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2:11" x14ac:dyDescent="0.45"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2:11" x14ac:dyDescent="0.45"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2:11" x14ac:dyDescent="0.45"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2:11" x14ac:dyDescent="0.45"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2:11" x14ac:dyDescent="0.45"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2:11" x14ac:dyDescent="0.45"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2:11" x14ac:dyDescent="0.45"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2:11" x14ac:dyDescent="0.45"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2:11" x14ac:dyDescent="0.45"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2:11" x14ac:dyDescent="0.45"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2:11" x14ac:dyDescent="0.45"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2:11" x14ac:dyDescent="0.45"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2:11" x14ac:dyDescent="0.45"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2:11" x14ac:dyDescent="0.45"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2:11" x14ac:dyDescent="0.45"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2:11" x14ac:dyDescent="0.45"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2:11" x14ac:dyDescent="0.45"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2:11" x14ac:dyDescent="0.45"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2:11" x14ac:dyDescent="0.45"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2:11" x14ac:dyDescent="0.45"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2:11" x14ac:dyDescent="0.45"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2:11" x14ac:dyDescent="0.45"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2:11" x14ac:dyDescent="0.45"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2:11" x14ac:dyDescent="0.45"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2:11" x14ac:dyDescent="0.45"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2:11" x14ac:dyDescent="0.45"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2:11" x14ac:dyDescent="0.45"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2:11" x14ac:dyDescent="0.45"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2:11" x14ac:dyDescent="0.45"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2:11" x14ac:dyDescent="0.45"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2:11" x14ac:dyDescent="0.45"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2:11" x14ac:dyDescent="0.45"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2:11" x14ac:dyDescent="0.45"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2:11" x14ac:dyDescent="0.45"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2:11" x14ac:dyDescent="0.45"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2:11" x14ac:dyDescent="0.45"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2:11" x14ac:dyDescent="0.45"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2:11" x14ac:dyDescent="0.45"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2:11" x14ac:dyDescent="0.45"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2:11" x14ac:dyDescent="0.45"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2:11" x14ac:dyDescent="0.45"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2:11" x14ac:dyDescent="0.45"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2:11" x14ac:dyDescent="0.45"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2:11" x14ac:dyDescent="0.45"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2:11" x14ac:dyDescent="0.45"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2:11" x14ac:dyDescent="0.45"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2:11" x14ac:dyDescent="0.45"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2:11" x14ac:dyDescent="0.45">
      <c r="B202" s="112"/>
      <c r="C202" s="112"/>
      <c r="D202" s="112"/>
    </row>
    <row r="203" spans="2:11" x14ac:dyDescent="0.45">
      <c r="B203" s="112"/>
      <c r="C203" s="112"/>
      <c r="D203" s="112"/>
    </row>
    <row r="204" spans="2:11" x14ac:dyDescent="0.45">
      <c r="B204" s="112"/>
      <c r="C204" s="112"/>
      <c r="D204" s="112"/>
    </row>
    <row r="205" spans="2:11" x14ac:dyDescent="0.45">
      <c r="B205" s="112"/>
      <c r="C205" s="112"/>
      <c r="D205" s="112"/>
    </row>
    <row r="206" spans="2:11" x14ac:dyDescent="0.45">
      <c r="B206" s="112"/>
      <c r="C206" s="112"/>
      <c r="D206" s="112"/>
    </row>
    <row r="207" spans="2:11" x14ac:dyDescent="0.45">
      <c r="B207" s="112"/>
      <c r="C207" s="112"/>
      <c r="D207" s="112"/>
    </row>
    <row r="208" spans="2:11" x14ac:dyDescent="0.45">
      <c r="B208" s="112"/>
      <c r="C208" s="112"/>
      <c r="D208" s="112"/>
    </row>
    <row r="209" spans="2:4" x14ac:dyDescent="0.45">
      <c r="B209" s="112"/>
      <c r="C209" s="112"/>
      <c r="D209" s="112"/>
    </row>
    <row r="210" spans="2:4" x14ac:dyDescent="0.45">
      <c r="B210" s="112"/>
      <c r="C210" s="112"/>
      <c r="D210" s="112"/>
    </row>
    <row r="211" spans="2:4" x14ac:dyDescent="0.45">
      <c r="B211" s="112"/>
      <c r="C211" s="112"/>
      <c r="D211" s="112"/>
    </row>
    <row r="212" spans="2:4" x14ac:dyDescent="0.45">
      <c r="B212" s="112"/>
      <c r="C212" s="112"/>
      <c r="D212" s="112"/>
    </row>
    <row r="213" spans="2:4" x14ac:dyDescent="0.45">
      <c r="B213" s="112"/>
      <c r="C213" s="112"/>
      <c r="D213" s="112"/>
    </row>
    <row r="214" spans="2:4" x14ac:dyDescent="0.45">
      <c r="B214" s="112"/>
      <c r="C214" s="112"/>
      <c r="D214" s="112"/>
    </row>
    <row r="215" spans="2:4" x14ac:dyDescent="0.45">
      <c r="B215" s="112"/>
      <c r="C215" s="112"/>
      <c r="D215" s="112"/>
    </row>
    <row r="216" spans="2:4" x14ac:dyDescent="0.45">
      <c r="B216" s="112"/>
      <c r="C216" s="112"/>
      <c r="D216" s="112"/>
    </row>
  </sheetData>
  <sheetProtection algorithmName="SHA-512" hashValue="8auqVdgiNG1CQQBgILXNGbpqlHIZsN8axrC9QOZBcgnKHpf7fS+aSiRlbfbOVukY1/fhnZ+xpjXvwUX/2dMJrw==" saltValue="29/wJ2xnMJ8l7YGhR0B7ZQ==" spinCount="100000" sheet="1" objects="1" scenarios="1"/>
  <mergeCells count="13">
    <mergeCell ref="M4:M5"/>
    <mergeCell ref="B28:C28"/>
    <mergeCell ref="B14:C14"/>
    <mergeCell ref="B69:C69"/>
    <mergeCell ref="B3:C3"/>
    <mergeCell ref="J3:K3"/>
    <mergeCell ref="J4:K5"/>
    <mergeCell ref="L4:L5"/>
    <mergeCell ref="B31:C31"/>
    <mergeCell ref="B41:B43"/>
    <mergeCell ref="C41:C43"/>
    <mergeCell ref="B44:B46"/>
    <mergeCell ref="C44:C46"/>
  </mergeCells>
  <dataValidations count="20">
    <dataValidation type="list" allowBlank="1" showInputMessage="1" showErrorMessage="1" sqref="B69">
      <formula1>$A$68:$A$70</formula1>
    </dataValidation>
    <dataValidation type="list" allowBlank="1" showInputMessage="1" showErrorMessage="1" sqref="C38 C55 C50 C60 C65">
      <formula1>$A$38:$A$42</formula1>
    </dataValidation>
    <dataValidation type="whole" allowBlank="1" showInputMessage="1" showErrorMessage="1" sqref="C44">
      <formula1>0</formula1>
      <formula2>C40</formula2>
    </dataValidation>
    <dataValidation type="whole" allowBlank="1" showInputMessage="1" showErrorMessage="1" sqref="C52 C62 C57 C67">
      <formula1>0</formula1>
      <formula2>20</formula2>
    </dataValidation>
    <dataValidation type="whole" allowBlank="1" showInputMessage="1" showErrorMessage="1" sqref="C49 C59 C54 C64">
      <formula1>18</formula1>
      <formula2>130</formula2>
    </dataValidation>
    <dataValidation type="whole" allowBlank="1" showInputMessage="1" showErrorMessage="1" sqref="C36 C40:C41">
      <formula1>0</formula1>
      <formula2>C35</formula2>
    </dataValidation>
    <dataValidation type="whole" allowBlank="1" showInputMessage="1" showErrorMessage="1" sqref="C35">
      <formula1>0</formula1>
      <formula2>100</formula2>
    </dataValidation>
    <dataValidation type="list" allowBlank="1" showInputMessage="1" showErrorMessage="1" sqref="C29">
      <formula1>$A$35:$A$37</formula1>
    </dataValidation>
    <dataValidation type="whole" allowBlank="1" showInputMessage="1" showErrorMessage="1" sqref="C30">
      <formula1>1980</formula1>
      <formula2>2023</formula2>
    </dataValidation>
    <dataValidation type="whole" allowBlank="1" showInputMessage="1" showErrorMessage="1" sqref="C27">
      <formula1>0</formula1>
      <formula2>10000</formula2>
    </dataValidation>
    <dataValidation type="whole" allowBlank="1" showInputMessage="1" showErrorMessage="1" sqref="C25">
      <formula1>0</formula1>
      <formula2>30</formula2>
    </dataValidation>
    <dataValidation type="list" allowBlank="1" showInputMessage="1" showErrorMessage="1" sqref="C26 C47 C61 C56 C18:C24 C51 C39 C37 C32 C66">
      <formula1>$H$13:$H$14</formula1>
    </dataValidation>
    <dataValidation type="list" allowBlank="1" showInputMessage="1" showErrorMessage="1" sqref="C13">
      <formula1>$D$18:$D$20</formula1>
    </dataValidation>
    <dataValidation type="decimal" allowBlank="1" showInputMessage="1" showErrorMessage="1" sqref="C4:C5">
      <formula1>0</formula1>
      <formula2>100</formula2>
    </dataValidation>
    <dataValidation type="whole" allowBlank="1" showInputMessage="1" showErrorMessage="1" sqref="C12">
      <formula1>0</formula1>
      <formula2>5</formula2>
    </dataValidation>
    <dataValidation type="whole" allowBlank="1" showInputMessage="1" showErrorMessage="1" sqref="C6:C10">
      <formula1>0</formula1>
      <formula2>14</formula2>
    </dataValidation>
    <dataValidation type="list" allowBlank="1" showInputMessage="1" showErrorMessage="1" sqref="C11">
      <formula1>$J$12:$J$14</formula1>
    </dataValidation>
    <dataValidation type="list" allowBlank="1" showInputMessage="1" showErrorMessage="1" sqref="C15">
      <formula1>$D$5:$D$7</formula1>
    </dataValidation>
    <dataValidation type="list" allowBlank="1" showInputMessage="1" showErrorMessage="1" sqref="C16">
      <formula1>$D$8:$D$10</formula1>
    </dataValidation>
    <dataValidation type="list" allowBlank="1" showInputMessage="1" showErrorMessage="1" sqref="C17">
      <formula1>$F$13:$F$18</formula1>
    </dataValidation>
  </dataValidations>
  <hyperlinks>
    <hyperlink ref="B2" location="Inicio!A1" display="Ir a inicio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3" sqref="H33"/>
    </sheetView>
  </sheetViews>
  <sheetFormatPr baseColWidth="10" defaultRowHeight="14.25" x14ac:dyDescent="0.4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6"/>
  <sheetViews>
    <sheetView showRowColHeaders="0" tabSelected="1" workbookViewId="0"/>
  </sheetViews>
  <sheetFormatPr baseColWidth="10" defaultRowHeight="14.25" x14ac:dyDescent="0.45"/>
  <cols>
    <col min="1" max="1" width="5.33203125" style="1" customWidth="1"/>
    <col min="2" max="16384" width="10.6640625" style="1"/>
  </cols>
  <sheetData>
    <row r="1" spans="2:17" x14ac:dyDescent="0.45">
      <c r="O1" s="147" t="s">
        <v>372</v>
      </c>
    </row>
    <row r="8" spans="2:17" x14ac:dyDescent="0.45">
      <c r="L8" s="146"/>
    </row>
    <row r="9" spans="2:17" ht="0.75" customHeight="1" x14ac:dyDescent="0.45"/>
    <row r="10" spans="2:17" ht="6.4" hidden="1" customHeight="1" x14ac:dyDescent="0.45"/>
    <row r="11" spans="2:17" x14ac:dyDescent="0.45">
      <c r="L11"/>
    </row>
    <row r="12" spans="2:17" x14ac:dyDescent="0.45">
      <c r="Q12"/>
    </row>
    <row r="16" spans="2:17" x14ac:dyDescent="0.45">
      <c r="B16" s="95" t="s">
        <v>296</v>
      </c>
      <c r="D16" s="95"/>
      <c r="E16" s="95"/>
      <c r="F16" s="95" t="s">
        <v>297</v>
      </c>
      <c r="H16" s="95"/>
      <c r="I16" s="95"/>
      <c r="J16" s="95" t="s">
        <v>298</v>
      </c>
      <c r="K16" s="95"/>
      <c r="M16" s="95"/>
      <c r="N16" s="95" t="s">
        <v>299</v>
      </c>
      <c r="O16" s="95"/>
    </row>
    <row r="17" spans="2:15" x14ac:dyDescent="0.45"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</row>
    <row r="18" spans="2:15" x14ac:dyDescent="0.45"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</row>
    <row r="19" spans="2:15" x14ac:dyDescent="0.45"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</row>
    <row r="20" spans="2:15" x14ac:dyDescent="0.45"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</row>
    <row r="21" spans="2:15" x14ac:dyDescent="0.45"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</row>
    <row r="22" spans="2:15" x14ac:dyDescent="0.45">
      <c r="B22" s="95" t="s">
        <v>300</v>
      </c>
      <c r="D22" s="95"/>
      <c r="E22" s="95"/>
      <c r="F22" s="95" t="s">
        <v>301</v>
      </c>
      <c r="H22"/>
      <c r="I22" s="95"/>
      <c r="J22" s="95" t="s">
        <v>302</v>
      </c>
      <c r="K22" s="95"/>
      <c r="M22" s="95"/>
      <c r="N22" s="3" t="s">
        <v>303</v>
      </c>
      <c r="O22" s="95"/>
    </row>
    <row r="23" spans="2:15" x14ac:dyDescent="0.45"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</row>
    <row r="24" spans="2:15" x14ac:dyDescent="0.45">
      <c r="B24" s="95"/>
      <c r="C24" s="95"/>
      <c r="D24" s="95"/>
      <c r="E24" s="95"/>
      <c r="F24" s="95"/>
      <c r="G24" s="95"/>
      <c r="H24" s="95"/>
      <c r="I24" s="95"/>
      <c r="K24" s="95"/>
      <c r="L24" s="95"/>
      <c r="M24" s="95"/>
      <c r="N24"/>
      <c r="O24" s="95"/>
    </row>
    <row r="25" spans="2:15" x14ac:dyDescent="0.45">
      <c r="B25" s="95"/>
      <c r="C25" s="95"/>
      <c r="D25" s="95"/>
      <c r="E25" s="95"/>
      <c r="F25"/>
      <c r="G25"/>
      <c r="H25" s="95"/>
      <c r="I25" s="95"/>
      <c r="J25" s="95"/>
      <c r="K25"/>
      <c r="L25" s="95"/>
      <c r="M25"/>
      <c r="N25" s="95"/>
      <c r="O25" s="95"/>
    </row>
    <row r="26" spans="2:15" x14ac:dyDescent="0.45">
      <c r="G26"/>
      <c r="I26"/>
      <c r="K26"/>
    </row>
    <row r="28" spans="2:15" x14ac:dyDescent="0.45">
      <c r="B28" s="95" t="s">
        <v>304</v>
      </c>
      <c r="F28" s="95" t="s">
        <v>305</v>
      </c>
      <c r="J28" s="95" t="s">
        <v>306</v>
      </c>
      <c r="N28" s="95" t="s">
        <v>307</v>
      </c>
    </row>
    <row r="31" spans="2:15" x14ac:dyDescent="0.45">
      <c r="E31"/>
      <c r="G31"/>
    </row>
    <row r="34" spans="2:15" x14ac:dyDescent="0.45">
      <c r="B34" s="3" t="s">
        <v>310</v>
      </c>
      <c r="F34" s="3" t="s">
        <v>311</v>
      </c>
      <c r="J34" s="3" t="s">
        <v>308</v>
      </c>
      <c r="N34" s="3" t="s">
        <v>309</v>
      </c>
    </row>
    <row r="36" spans="2:15" x14ac:dyDescent="0.45">
      <c r="O36"/>
    </row>
    <row r="39" spans="2:15" x14ac:dyDescent="0.45">
      <c r="D39" s="122"/>
      <c r="E39" s="122"/>
      <c r="F39" s="122"/>
    </row>
    <row r="40" spans="2:15" x14ac:dyDescent="0.45">
      <c r="D40" s="122"/>
      <c r="E40" s="122"/>
      <c r="F40" s="122"/>
    </row>
    <row r="41" spans="2:15" x14ac:dyDescent="0.45">
      <c r="D41" s="122"/>
      <c r="E41" s="122"/>
      <c r="F41" s="122"/>
    </row>
    <row r="42" spans="2:15" x14ac:dyDescent="0.45">
      <c r="D42" s="122"/>
      <c r="E42" s="122"/>
      <c r="F42" s="122"/>
    </row>
    <row r="43" spans="2:15" x14ac:dyDescent="0.45">
      <c r="D43" s="122"/>
      <c r="E43" s="122"/>
      <c r="F43" s="122"/>
    </row>
    <row r="44" spans="2:15" x14ac:dyDescent="0.45">
      <c r="D44" s="122"/>
      <c r="E44" s="122"/>
      <c r="F44" s="122"/>
    </row>
    <row r="45" spans="2:15" x14ac:dyDescent="0.45">
      <c r="D45" s="122"/>
      <c r="E45" s="122"/>
      <c r="F45" s="122"/>
    </row>
    <row r="46" spans="2:15" x14ac:dyDescent="0.45">
      <c r="D46" s="122"/>
      <c r="E46" s="122"/>
      <c r="F46" s="122"/>
    </row>
  </sheetData>
  <sheetProtection algorithmName="SHA-512" hashValue="EwJnsawL4lXnURJUseyQbtlgmKINSs4ZX+J0qW0fODV9Twm0Wgkx9isPi7vxd5rKUSY+259WvYXWhLzgzPmX1Q==" saltValue="M2ncJtrC4nXlM6lvkVrCeA==" spinCount="100000" sheet="1" objects="1" scenarios="1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7"/>
  <sheetViews>
    <sheetView showRowColHeaders="0" zoomScaleNormal="100" workbookViewId="0">
      <selection activeCell="B2" sqref="B2"/>
    </sheetView>
  </sheetViews>
  <sheetFormatPr baseColWidth="10" defaultRowHeight="14.25" x14ac:dyDescent="0.45"/>
  <cols>
    <col min="1" max="1" width="0.53125" style="4" customWidth="1"/>
    <col min="2" max="2" width="55.86328125" style="4" customWidth="1"/>
    <col min="3" max="3" width="26.19921875" style="4" customWidth="1"/>
    <col min="4" max="4" width="2.265625" style="24" customWidth="1"/>
    <col min="5" max="5" width="1" style="24" customWidth="1"/>
    <col min="6" max="6" width="0.796875" style="24" hidden="1" customWidth="1"/>
    <col min="7" max="7" width="6.640625E-2" style="24" hidden="1" customWidth="1"/>
    <col min="8" max="8" width="6.19921875" style="24" hidden="1" customWidth="1"/>
    <col min="9" max="9" width="1.1328125" style="4" customWidth="1"/>
    <col min="10" max="10" width="10.6640625" style="4"/>
    <col min="11" max="11" width="41.33203125" style="4" customWidth="1"/>
    <col min="12" max="12" width="17.73046875" style="4" customWidth="1"/>
    <col min="13" max="13" width="17.9296875" style="4" customWidth="1"/>
    <col min="14" max="14" width="5.3984375" style="4" customWidth="1"/>
    <col min="15" max="15" width="4.73046875" style="4" customWidth="1"/>
    <col min="16" max="16384" width="10.6640625" style="4"/>
  </cols>
  <sheetData>
    <row r="1" spans="1:29" ht="118.5" customHeight="1" thickBot="1" x14ac:dyDescent="0.5">
      <c r="O1"/>
    </row>
    <row r="2" spans="1:29" ht="19.149999999999999" customHeight="1" thickBot="1" x14ac:dyDescent="0.5">
      <c r="B2" s="96" t="s">
        <v>293</v>
      </c>
      <c r="L2" s="33" t="s">
        <v>241</v>
      </c>
      <c r="M2" s="34" t="s">
        <v>172</v>
      </c>
      <c r="Q2" s="24"/>
      <c r="R2" s="24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8.25" customHeight="1" thickBot="1" x14ac:dyDescent="0.7">
      <c r="B3" s="158" t="s">
        <v>240</v>
      </c>
      <c r="C3" s="159"/>
      <c r="J3" s="160" t="s">
        <v>227</v>
      </c>
      <c r="K3" s="161"/>
      <c r="L3" s="84">
        <f>L4-SUM(L27:L31)</f>
        <v>2131.006657242388</v>
      </c>
      <c r="M3" s="84">
        <f>M4-SUM(M27:M31)</f>
        <v>1967.2238385456717</v>
      </c>
      <c r="Q3" s="24"/>
      <c r="R3" s="24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8.399999999999999" customHeight="1" thickBot="1" x14ac:dyDescent="0.5">
      <c r="A4" s="24"/>
      <c r="B4" s="26" t="s">
        <v>274</v>
      </c>
      <c r="C4" s="49">
        <v>100</v>
      </c>
      <c r="D4" s="50" t="s">
        <v>140</v>
      </c>
      <c r="J4" s="162" t="s">
        <v>121</v>
      </c>
      <c r="K4" s="163"/>
      <c r="L4" s="152">
        <f>SUM(L6:L25)</f>
        <v>3029.58</v>
      </c>
      <c r="M4" s="152">
        <f>SUM(M6:M25)</f>
        <v>2531.46</v>
      </c>
      <c r="Q4" s="24"/>
      <c r="R4" s="24"/>
      <c r="S4" s="5"/>
      <c r="T4" s="5" t="s">
        <v>122</v>
      </c>
      <c r="U4" s="5"/>
      <c r="V4" s="5">
        <f>$C$6*Datos!G15</f>
        <v>0</v>
      </c>
      <c r="W4" s="5">
        <f>$C$6*Datos!G16</f>
        <v>0</v>
      </c>
      <c r="X4" s="5"/>
      <c r="Y4" s="5"/>
      <c r="Z4" s="5"/>
      <c r="AA4" s="5"/>
      <c r="AB4" s="5"/>
      <c r="AC4" s="5"/>
    </row>
    <row r="5" spans="1:29" ht="18.399999999999999" customHeight="1" thickBot="1" x14ac:dyDescent="0.5">
      <c r="A5" s="24"/>
      <c r="B5" s="26" t="s">
        <v>163</v>
      </c>
      <c r="C5" s="48"/>
      <c r="D5" s="5" t="s">
        <v>285</v>
      </c>
      <c r="E5" s="5"/>
      <c r="F5" s="5"/>
      <c r="G5" s="5"/>
      <c r="H5" s="5"/>
      <c r="I5" s="5"/>
      <c r="J5" s="164"/>
      <c r="K5" s="165"/>
      <c r="L5" s="153"/>
      <c r="M5" s="153"/>
      <c r="Q5" s="24"/>
      <c r="R5" s="24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x14ac:dyDescent="0.45">
      <c r="A6" s="24"/>
      <c r="B6" s="6" t="str">
        <f>T4</f>
        <v>Trienios A1</v>
      </c>
      <c r="C6" s="17">
        <v>0</v>
      </c>
      <c r="D6" s="5" t="s">
        <v>288</v>
      </c>
      <c r="E6" s="5"/>
      <c r="F6" s="5"/>
      <c r="G6" s="5"/>
      <c r="H6" s="5"/>
      <c r="I6" s="5"/>
      <c r="J6" s="63" t="s">
        <v>118</v>
      </c>
      <c r="K6" s="67"/>
      <c r="L6" s="59">
        <f>ROUND((C4/100)*Datos!G4,2)</f>
        <v>1300.8800000000001</v>
      </c>
      <c r="M6" s="59">
        <f>ROUND((C4/100)*Datos!G5,2)</f>
        <v>802.76</v>
      </c>
      <c r="Q6" s="24"/>
      <c r="R6" s="24"/>
      <c r="S6" s="5"/>
      <c r="T6" s="5" t="s">
        <v>123</v>
      </c>
      <c r="U6" s="5"/>
      <c r="V6" s="5">
        <f>$C$7*Datos!G17</f>
        <v>0</v>
      </c>
      <c r="W6" s="5">
        <f>$C$7*Datos!G18</f>
        <v>0</v>
      </c>
      <c r="X6" s="5"/>
      <c r="Y6" s="5"/>
      <c r="Z6" s="5"/>
      <c r="AA6" s="5"/>
      <c r="AB6" s="5"/>
      <c r="AC6" s="5"/>
    </row>
    <row r="7" spans="1:29" x14ac:dyDescent="0.45">
      <c r="A7" s="24"/>
      <c r="B7" s="8" t="str">
        <f t="shared" ref="B7:B10" si="0">T6</f>
        <v>Trienios A2</v>
      </c>
      <c r="C7" s="18">
        <v>0</v>
      </c>
      <c r="D7" s="5"/>
      <c r="E7" s="5"/>
      <c r="F7" s="5"/>
      <c r="G7" s="5"/>
      <c r="H7" s="5"/>
      <c r="I7" s="5"/>
      <c r="J7" s="42" t="s">
        <v>119</v>
      </c>
      <c r="K7"/>
      <c r="L7" s="60">
        <f>ROUND(($C$4/100)*Datos!G8,2)</f>
        <v>819</v>
      </c>
      <c r="M7" s="60">
        <f>L7</f>
        <v>819</v>
      </c>
      <c r="Q7" s="24"/>
      <c r="R7" s="24"/>
      <c r="S7" s="5"/>
      <c r="T7" s="5" t="s">
        <v>124</v>
      </c>
      <c r="U7" s="5"/>
      <c r="V7" s="5">
        <f>$C$8*Datos!G19</f>
        <v>0</v>
      </c>
      <c r="W7" s="5">
        <f>$C$8*Datos!G20</f>
        <v>0</v>
      </c>
      <c r="X7" s="5"/>
      <c r="Y7" s="5"/>
      <c r="Z7" s="5"/>
      <c r="AA7" s="5"/>
      <c r="AB7" s="5"/>
      <c r="AC7" s="5"/>
    </row>
    <row r="8" spans="1:29" x14ac:dyDescent="0.45">
      <c r="A8" s="24"/>
      <c r="B8" s="8" t="str">
        <f t="shared" si="0"/>
        <v>Trienios C1</v>
      </c>
      <c r="C8" s="18">
        <v>0</v>
      </c>
      <c r="D8" s="5"/>
      <c r="E8" s="5"/>
      <c r="F8" s="5"/>
      <c r="G8" s="5"/>
      <c r="H8" s="5"/>
      <c r="I8" s="5"/>
      <c r="J8" s="42" t="s">
        <v>120</v>
      </c>
      <c r="K8" s="68"/>
      <c r="L8" s="60">
        <f>ROUND(($C$4/100)*Datos!G12,2)</f>
        <v>909.7</v>
      </c>
      <c r="M8" s="60">
        <f>L8</f>
        <v>909.7</v>
      </c>
      <c r="Q8" s="24"/>
      <c r="R8" s="24"/>
      <c r="S8" s="5"/>
      <c r="T8" s="5" t="s">
        <v>125</v>
      </c>
      <c r="U8" s="5"/>
      <c r="V8" s="5">
        <f>$C$9*Datos!G21</f>
        <v>0</v>
      </c>
      <c r="W8" s="5">
        <f>$C$9*Datos!G22</f>
        <v>0</v>
      </c>
      <c r="X8" s="5"/>
      <c r="Y8" s="5"/>
      <c r="Z8" s="5"/>
      <c r="AA8" s="5"/>
      <c r="AB8" s="5"/>
      <c r="AC8" s="5"/>
    </row>
    <row r="9" spans="1:29" x14ac:dyDescent="0.45">
      <c r="A9" s="24"/>
      <c r="B9" s="8" t="str">
        <f t="shared" si="0"/>
        <v>Trienios C2</v>
      </c>
      <c r="C9" s="18">
        <v>0</v>
      </c>
      <c r="D9" s="5"/>
      <c r="E9" s="5"/>
      <c r="F9" s="5"/>
      <c r="G9" s="5"/>
      <c r="H9" s="5"/>
      <c r="I9" s="5"/>
      <c r="J9" s="42" t="s">
        <v>126</v>
      </c>
      <c r="K9" s="68"/>
      <c r="L9" s="60">
        <f>IF(SUM(C6:C10)&gt;0,ROUND(V12*C4/100,2),0)</f>
        <v>0</v>
      </c>
      <c r="M9" s="60">
        <f>W12</f>
        <v>0</v>
      </c>
      <c r="Q9" s="24"/>
      <c r="R9" s="24"/>
      <c r="S9" s="5"/>
      <c r="T9" s="5" t="s">
        <v>127</v>
      </c>
      <c r="U9" s="5"/>
      <c r="V9" s="5">
        <f>$C$10*Datos!G23</f>
        <v>0</v>
      </c>
      <c r="W9" s="5">
        <f>$C$10*Datos!G24</f>
        <v>0</v>
      </c>
      <c r="X9" s="5"/>
      <c r="Y9" s="5"/>
      <c r="Z9" s="5"/>
      <c r="AA9" s="5"/>
      <c r="AB9" s="5"/>
      <c r="AC9" s="5"/>
    </row>
    <row r="10" spans="1:29" ht="14.65" thickBot="1" x14ac:dyDescent="0.5">
      <c r="A10" s="24"/>
      <c r="B10" s="12" t="str">
        <f t="shared" si="0"/>
        <v>Trienios agrupaciones especiales</v>
      </c>
      <c r="C10" s="19">
        <v>0</v>
      </c>
      <c r="D10" s="5"/>
      <c r="E10" s="5"/>
      <c r="F10" s="5"/>
      <c r="G10" s="5"/>
      <c r="H10" s="5"/>
      <c r="I10" s="5"/>
      <c r="J10" s="42" t="s">
        <v>153</v>
      </c>
      <c r="K10" s="68"/>
      <c r="L10" s="60">
        <f>IF(C12&gt;0,ROUND(N13*C4/100,2),0)</f>
        <v>0</v>
      </c>
      <c r="M10" s="60">
        <f>L10</f>
        <v>0</v>
      </c>
      <c r="Q10" s="24"/>
      <c r="R10" s="24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4.65" thickBot="1" x14ac:dyDescent="0.5">
      <c r="A11" s="5"/>
      <c r="B11" s="133" t="s">
        <v>284</v>
      </c>
      <c r="C11" s="134" t="s">
        <v>285</v>
      </c>
      <c r="D11" s="5"/>
      <c r="E11" s="5"/>
      <c r="F11" s="5"/>
      <c r="G11" s="5"/>
      <c r="H11" s="5"/>
      <c r="I11" s="5"/>
      <c r="J11" s="42" t="s">
        <v>24</v>
      </c>
      <c r="K11" s="68"/>
      <c r="L11" s="60">
        <f>IF(C13=D14,ROUND(C4*MAX(E27:E32,G27:G32)/100,2),0)</f>
        <v>0</v>
      </c>
      <c r="M11" s="60">
        <f t="shared" ref="M11:M25" si="1">L11</f>
        <v>0</v>
      </c>
      <c r="Q11" s="24"/>
      <c r="R11" s="24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4.65" thickBot="1" x14ac:dyDescent="0.5">
      <c r="A12" s="5"/>
      <c r="B12" s="27" t="s">
        <v>129</v>
      </c>
      <c r="C12" s="20">
        <v>0</v>
      </c>
      <c r="D12" s="5" t="str">
        <f>IF(OR(C13=D14,C13=D18,C13=D19,C13=D20),D14,"")</f>
        <v/>
      </c>
      <c r="E12" s="5"/>
      <c r="F12" s="5"/>
      <c r="G12" s="5"/>
      <c r="H12" s="5"/>
      <c r="I12" s="5"/>
      <c r="J12" s="42" t="s">
        <v>39</v>
      </c>
      <c r="K12" s="68"/>
      <c r="L12" s="60">
        <f>IF(C13=D16,ROUND(C4*MAX(F27:F31,H27:H31)/100,2),0)</f>
        <v>0</v>
      </c>
      <c r="M12" s="60">
        <f t="shared" si="1"/>
        <v>0</v>
      </c>
      <c r="Q12" s="24"/>
      <c r="R12" s="24"/>
      <c r="S12" s="5"/>
      <c r="T12" s="5" t="s">
        <v>128</v>
      </c>
      <c r="U12" s="5"/>
      <c r="V12" s="5">
        <f>SUM(V4:V9)</f>
        <v>0</v>
      </c>
      <c r="W12" s="5">
        <f>SUM(W4:W9)</f>
        <v>0</v>
      </c>
      <c r="X12" s="5"/>
      <c r="Y12" s="5"/>
      <c r="Z12" s="5"/>
      <c r="AA12" s="5"/>
      <c r="AB12" s="5"/>
      <c r="AC12" s="5"/>
    </row>
    <row r="13" spans="1:29" ht="14.65" thickBot="1" x14ac:dyDescent="0.5">
      <c r="A13" s="5"/>
      <c r="B13" s="27" t="s">
        <v>280</v>
      </c>
      <c r="C13" s="20" t="s">
        <v>141</v>
      </c>
      <c r="D13" s="5" t="s">
        <v>141</v>
      </c>
      <c r="E13" s="5"/>
      <c r="F13" s="5" t="s">
        <v>27</v>
      </c>
      <c r="G13" s="5" t="s">
        <v>136</v>
      </c>
      <c r="H13" s="5" t="s">
        <v>143</v>
      </c>
      <c r="I13" s="5"/>
      <c r="J13" s="42" t="s">
        <v>40</v>
      </c>
      <c r="K13" s="68"/>
      <c r="L13" s="99">
        <f>IF(C13=D15,ROUND(C4*MAX(F27:F31,H27:H31)/100,2),0)</f>
        <v>0</v>
      </c>
      <c r="M13" s="60">
        <f t="shared" si="1"/>
        <v>0</v>
      </c>
      <c r="N13" s="5">
        <f>IF(C12=1,Datos!J26,IF(C12=2,Datos!J27,IF(C12=3,Datos!J28,IF(C12=4,Datos!J29,IF(C12=5,Datos!J30,0)))))</f>
        <v>0</v>
      </c>
      <c r="Q13" s="24"/>
      <c r="R13" s="24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4.65" thickBot="1" x14ac:dyDescent="0.5">
      <c r="A14" s="5"/>
      <c r="B14" s="27" t="s">
        <v>130</v>
      </c>
      <c r="C14" s="20"/>
      <c r="D14" s="5" t="s">
        <v>132</v>
      </c>
      <c r="E14" s="5"/>
      <c r="F14" s="5" t="s">
        <v>28</v>
      </c>
      <c r="G14" s="5" t="s">
        <v>137</v>
      </c>
      <c r="H14" s="5" t="s">
        <v>144</v>
      </c>
      <c r="I14" s="5"/>
      <c r="J14" s="42" t="s">
        <v>154</v>
      </c>
      <c r="K14" s="68"/>
      <c r="L14" s="60">
        <f>IF(C13=D17,ROUND(Datos!G77*'Catedráticos EA'!C4/100,2),0)</f>
        <v>0</v>
      </c>
      <c r="M14" s="60">
        <f t="shared" si="1"/>
        <v>0</v>
      </c>
      <c r="Q14" s="24"/>
      <c r="R14" s="24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4.65" thickBot="1" x14ac:dyDescent="0.5">
      <c r="A15" s="5"/>
      <c r="B15" s="27" t="s">
        <v>53</v>
      </c>
      <c r="C15" s="20" t="s">
        <v>144</v>
      </c>
      <c r="D15" s="5" t="s">
        <v>133</v>
      </c>
      <c r="E15" s="5"/>
      <c r="F15" s="5" t="s">
        <v>29</v>
      </c>
      <c r="G15" s="5" t="s">
        <v>138</v>
      </c>
      <c r="H15" s="5"/>
      <c r="I15" s="5"/>
      <c r="J15" s="42" t="s">
        <v>279</v>
      </c>
      <c r="K15" s="68"/>
      <c r="L15" s="60">
        <f>IF(D21&gt;0,ROUND(C4*MAX(E27:E33,G27:G33)*D21/100,2),0)</f>
        <v>0</v>
      </c>
      <c r="M15" s="60">
        <f t="shared" si="1"/>
        <v>0</v>
      </c>
      <c r="Q15" s="24"/>
      <c r="R15" s="24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.1499999999999999" hidden="1" customHeight="1" thickBot="1" x14ac:dyDescent="0.5">
      <c r="A16" s="5"/>
      <c r="B16" s="27" t="s">
        <v>324</v>
      </c>
      <c r="C16" s="20" t="s">
        <v>144</v>
      </c>
      <c r="D16" s="5" t="s">
        <v>134</v>
      </c>
      <c r="E16" s="5"/>
      <c r="F16" s="5" t="s">
        <v>30</v>
      </c>
      <c r="G16" s="5" t="s">
        <v>139</v>
      </c>
      <c r="H16" s="5" t="s">
        <v>144</v>
      </c>
      <c r="I16" s="5"/>
      <c r="J16" s="42" t="str">
        <f>B17</f>
        <v>-</v>
      </c>
      <c r="K16" s="68"/>
      <c r="L16" s="60">
        <f>IF(C17="Sí",ROUND(Datos!G86*'Catedráticos EA'!C4/100,2),0)</f>
        <v>0</v>
      </c>
      <c r="M16" s="60">
        <f t="shared" si="1"/>
        <v>0</v>
      </c>
      <c r="Q16" s="24"/>
      <c r="R16" s="24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3.9" hidden="1" customHeight="1" thickBot="1" x14ac:dyDescent="0.5">
      <c r="A17" s="5"/>
      <c r="B17" s="27" t="s">
        <v>324</v>
      </c>
      <c r="C17" s="20" t="s">
        <v>144</v>
      </c>
      <c r="D17" s="5" t="s">
        <v>142</v>
      </c>
      <c r="E17" s="5"/>
      <c r="F17" s="5" t="s">
        <v>31</v>
      </c>
      <c r="G17" s="5"/>
      <c r="H17" s="5" t="s">
        <v>145</v>
      </c>
      <c r="I17" s="5"/>
      <c r="J17" s="42" t="str">
        <f>B18</f>
        <v>.</v>
      </c>
      <c r="K17" s="68"/>
      <c r="L17" s="60">
        <f>IF(C18="Sí",ROUND(Datos!G87*'Catedráticos EA'!C4/100,2),0)</f>
        <v>0</v>
      </c>
      <c r="M17" s="60">
        <f t="shared" si="1"/>
        <v>0</v>
      </c>
      <c r="Q17" s="24"/>
      <c r="R17" s="24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14.65" hidden="1" thickBot="1" x14ac:dyDescent="0.5">
      <c r="A18" s="5"/>
      <c r="B18" s="27" t="s">
        <v>325</v>
      </c>
      <c r="C18" s="20" t="s">
        <v>144</v>
      </c>
      <c r="D18" s="5" t="s">
        <v>281</v>
      </c>
      <c r="E18" s="5"/>
      <c r="F18" s="5" t="s">
        <v>32</v>
      </c>
      <c r="G18" s="5"/>
      <c r="H18" s="5" t="s">
        <v>146</v>
      </c>
      <c r="I18" s="5"/>
      <c r="J18" s="42" t="str">
        <f>B19</f>
        <v>.</v>
      </c>
      <c r="K18" s="68"/>
      <c r="L18" s="60">
        <f>IF(C19="Sí",ROUND(Datos!G89*'Catedráticos EA'!C4/100,2),0)</f>
        <v>0</v>
      </c>
      <c r="M18" s="60">
        <f t="shared" si="1"/>
        <v>0</v>
      </c>
      <c r="Q18" s="24"/>
      <c r="R18" s="24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idden="1" x14ac:dyDescent="0.45">
      <c r="A19" s="5"/>
      <c r="B19" s="28" t="s">
        <v>325</v>
      </c>
      <c r="C19" s="114" t="s">
        <v>144</v>
      </c>
      <c r="D19" s="5" t="s">
        <v>282</v>
      </c>
      <c r="E19" s="5"/>
      <c r="F19" s="5"/>
      <c r="G19" s="5"/>
      <c r="H19" s="5" t="s">
        <v>147</v>
      </c>
      <c r="I19" s="5"/>
      <c r="J19" s="42" t="str">
        <f>B20</f>
        <v>.</v>
      </c>
      <c r="K19" s="68"/>
      <c r="L19" s="60">
        <f>IF(C20="Sí",ROUND(Datos!G90*'Catedráticos EA'!C4/100,2),0)</f>
        <v>0</v>
      </c>
      <c r="M19" s="60">
        <f t="shared" si="1"/>
        <v>0</v>
      </c>
      <c r="Q19" s="24"/>
      <c r="R19" s="24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15.75" customHeight="1" x14ac:dyDescent="0.45">
      <c r="A20" s="5"/>
      <c r="B20" s="133" t="s">
        <v>325</v>
      </c>
      <c r="C20" s="134" t="s">
        <v>144</v>
      </c>
      <c r="D20" s="5" t="s">
        <v>283</v>
      </c>
      <c r="E20" s="5"/>
      <c r="F20" s="5"/>
      <c r="G20" s="5"/>
      <c r="H20" s="5"/>
      <c r="I20" s="5"/>
      <c r="J20" s="42" t="s">
        <v>53</v>
      </c>
      <c r="K20" s="68"/>
      <c r="L20" s="60">
        <f>IF(C15="Sí",ROUND(Datos!G91*'Catedráticos EA'!C4/100,2),0)</f>
        <v>0</v>
      </c>
      <c r="M20" s="60">
        <f t="shared" si="1"/>
        <v>0</v>
      </c>
      <c r="Q20" s="24"/>
      <c r="R20" s="24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0.4" hidden="1" customHeight="1" thickBot="1" x14ac:dyDescent="0.5">
      <c r="A21" s="5"/>
      <c r="B21" s="133" t="s">
        <v>325</v>
      </c>
      <c r="C21" s="134" t="s">
        <v>144</v>
      </c>
      <c r="D21" s="5">
        <f>IF(C13=D18,0.25,IF(C13=D19,0.4,IF(C13=D20,0.6,0)))</f>
        <v>0</v>
      </c>
      <c r="E21" s="5"/>
      <c r="F21" s="5"/>
      <c r="G21" s="5"/>
      <c r="H21" s="5"/>
      <c r="I21" s="5"/>
      <c r="J21" s="42" t="s">
        <v>276</v>
      </c>
      <c r="K21" s="68"/>
      <c r="L21" s="60">
        <f>IF(C22="Sí",ROUND(Datos!G97*'Catedráticos EA'!C4/100,2),0)</f>
        <v>0</v>
      </c>
      <c r="M21" s="60">
        <f t="shared" si="1"/>
        <v>0</v>
      </c>
      <c r="Q21" s="24"/>
      <c r="R21" s="24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3.75" hidden="1" customHeight="1" thickBot="1" x14ac:dyDescent="0.5">
      <c r="A22" s="5"/>
      <c r="B22" s="133" t="s">
        <v>325</v>
      </c>
      <c r="C22" s="134" t="s">
        <v>144</v>
      </c>
      <c r="D22" s="5"/>
      <c r="E22" s="5"/>
      <c r="F22" s="5"/>
      <c r="G22" s="5"/>
      <c r="H22" s="5"/>
      <c r="I22" s="5"/>
      <c r="J22" s="42" t="s">
        <v>158</v>
      </c>
      <c r="K22" s="68"/>
      <c r="L22" s="60">
        <f>IF(C23="Sí",ROUND(C4*SUM(D23:D25)/100,2),0)</f>
        <v>0</v>
      </c>
      <c r="M22" s="60">
        <f>L22</f>
        <v>0</v>
      </c>
      <c r="Q22" s="24"/>
      <c r="R22" s="24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idden="1" x14ac:dyDescent="0.45">
      <c r="A23" s="5"/>
      <c r="B23" s="133" t="s">
        <v>325</v>
      </c>
      <c r="C23" s="134" t="s">
        <v>144</v>
      </c>
      <c r="D23" s="5">
        <f>IF(C23="No",0,Datos!G102)</f>
        <v>0</v>
      </c>
      <c r="E23" s="5"/>
      <c r="F23" s="5"/>
      <c r="G23" s="5"/>
      <c r="H23" s="5"/>
      <c r="I23" s="5"/>
      <c r="J23" s="42" t="s">
        <v>159</v>
      </c>
      <c r="K23" s="68"/>
      <c r="L23" s="60">
        <f>IF(C26="Sí",ROUND(C4*MIN(D27:D36)/100,2),0)</f>
        <v>0</v>
      </c>
      <c r="M23" s="60">
        <f>L23</f>
        <v>0</v>
      </c>
      <c r="Q23" s="24"/>
      <c r="R23" s="24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2.4" hidden="1" customHeight="1" thickBot="1" x14ac:dyDescent="0.5">
      <c r="A24" s="5"/>
      <c r="B24" s="136" t="s">
        <v>324</v>
      </c>
      <c r="C24" s="134" t="s">
        <v>144</v>
      </c>
      <c r="D24" s="5">
        <f>IF(AND(C23="Sí",C24="Sí"),Datos!G103,0)</f>
        <v>0</v>
      </c>
      <c r="E24" s="5"/>
      <c r="F24" s="5"/>
      <c r="G24" s="5"/>
      <c r="H24" s="5"/>
      <c r="I24" s="5"/>
      <c r="K24" s="69"/>
      <c r="L24" s="60">
        <f>IF(D21&gt;0,ROUND(C4*MAX(E27:E33,G27:G33)*D21/100,2),0)</f>
        <v>0</v>
      </c>
      <c r="M24" s="60">
        <f>L24</f>
        <v>0</v>
      </c>
      <c r="Q24" s="24"/>
      <c r="R24" s="24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3.75" hidden="1" customHeight="1" thickBot="1" x14ac:dyDescent="0.5">
      <c r="A25" s="5"/>
      <c r="B25" s="136" t="s">
        <v>324</v>
      </c>
      <c r="C25" s="134">
        <v>0</v>
      </c>
      <c r="D25" s="5">
        <f>IF(C23="Sí",C25*Datos!G104,0)</f>
        <v>0</v>
      </c>
      <c r="E25" s="5"/>
      <c r="F25" s="5"/>
      <c r="G25" s="5"/>
      <c r="H25" s="5"/>
      <c r="I25" s="5"/>
      <c r="J25" s="61"/>
      <c r="K25" s="70"/>
      <c r="L25" s="62">
        <f>IF(C21="Sí",ROUND(Datos!G92*C4/100,2),0)</f>
        <v>0</v>
      </c>
      <c r="M25" s="62">
        <f t="shared" si="1"/>
        <v>0</v>
      </c>
      <c r="Q25" s="24"/>
      <c r="R25" s="24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x14ac:dyDescent="0.45">
      <c r="A26" s="5"/>
      <c r="B26" s="133" t="s">
        <v>151</v>
      </c>
      <c r="C26" s="134" t="s">
        <v>144</v>
      </c>
      <c r="D26" s="5"/>
      <c r="E26" s="5" t="s">
        <v>131</v>
      </c>
      <c r="F26" s="5" t="s">
        <v>160</v>
      </c>
      <c r="G26" s="5" t="s">
        <v>286</v>
      </c>
      <c r="H26" s="5" t="s">
        <v>287</v>
      </c>
      <c r="I26" s="5"/>
      <c r="J26" s="64" t="s">
        <v>168</v>
      </c>
      <c r="K26" s="65"/>
      <c r="L26" s="66"/>
      <c r="M26" s="65"/>
      <c r="Q26" s="24"/>
      <c r="R26" s="24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x14ac:dyDescent="0.45">
      <c r="A27" s="5"/>
      <c r="B27" s="136" t="s">
        <v>152</v>
      </c>
      <c r="C27" s="134">
        <v>0</v>
      </c>
      <c r="D27" s="5">
        <f>IF($C$27&lt;=50,Datos!G107,"")</f>
        <v>16.559999999999999</v>
      </c>
      <c r="E27" s="5" t="str">
        <f>IF(AND(C11=D5,$D12=$D$14,$C$14=F13),Datos!G64,"")</f>
        <v/>
      </c>
      <c r="F27" s="5" t="str">
        <f>IF(AND(OR($C$13=$D$15,$C$13=$D$16),$C$14=F13,C11=D5),Datos!G68,"")</f>
        <v/>
      </c>
      <c r="G27" s="5" t="str">
        <f>IF(AND(C11=D6,$D12=$D$14,$C$14=F13),Datos!G32,"")</f>
        <v/>
      </c>
      <c r="H27" s="5" t="str">
        <f>IF(AND(OR($C$13=$D$15,$C$13=$D$16),$C$14=F13,C11=D6),Datos!G38,"")</f>
        <v/>
      </c>
      <c r="I27" s="5"/>
      <c r="J27" s="9" t="s">
        <v>237</v>
      </c>
      <c r="K27" s="46"/>
      <c r="L27" s="22">
        <f>IF(OR(C29="Funcionario/a de carrera",C29="Funcionario/a en prácticas"),51.68,0)</f>
        <v>0</v>
      </c>
      <c r="M27" s="56">
        <f>L27</f>
        <v>0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4.65" thickBot="1" x14ac:dyDescent="0.5">
      <c r="A28" s="5"/>
      <c r="B28" s="154" t="s">
        <v>239</v>
      </c>
      <c r="C28" s="155"/>
      <c r="D28" s="5">
        <f>IF($C$27&lt;=100,Datos!G108,"")</f>
        <v>33.119999999999997</v>
      </c>
      <c r="E28" s="5" t="str">
        <f>IF(AND(C11=D5,$D$12=$D$14,$C$14=F14),Datos!G65,"")</f>
        <v/>
      </c>
      <c r="F28" s="5" t="str">
        <f>IF(AND(OR($C$13=$D$15,$C$13=$D$16),$C$14=F14,C11=D5),Datos!G69,"")</f>
        <v/>
      </c>
      <c r="G28" s="5" t="str">
        <f>IF(AND(C11=D6,$D12=$D$14,$C$14=F14),Datos!G33,"")</f>
        <v/>
      </c>
      <c r="H28" s="5" t="str">
        <f>IF(AND(OR($C$13=$D$15,$C$13=$D$16),$C$14=F14,C11=D6),Datos!G39,"")</f>
        <v/>
      </c>
      <c r="I28" s="5"/>
      <c r="J28" s="9" t="s">
        <v>238</v>
      </c>
      <c r="K28" s="46"/>
      <c r="L28" s="22">
        <f>IF(AND(L27&gt;0,C30&lt;2011,C30&gt;0),118.04,0)</f>
        <v>0</v>
      </c>
      <c r="M28" s="56">
        <f>L28</f>
        <v>0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4.65" thickBot="1" x14ac:dyDescent="0.5">
      <c r="A29" s="5"/>
      <c r="B29" s="27" t="s">
        <v>164</v>
      </c>
      <c r="C29" s="20" t="s">
        <v>167</v>
      </c>
      <c r="D29" s="5">
        <f>IF($C$27&lt;=150,Datos!G109,"")</f>
        <v>49.68</v>
      </c>
      <c r="E29" s="5" t="str">
        <f>IF(AND(C11=D5,$D$12=$D$14,$C$14=F15),Datos!G66,"")</f>
        <v/>
      </c>
      <c r="F29" s="5" t="str">
        <f>IF(AND(OR($C$13=$D$15,$C$13=$D$16),$C$14=F15,C11=D5),Datos!G70,"")</f>
        <v/>
      </c>
      <c r="G29" s="5" t="str">
        <f>IF(AND(C11=D6,$D12=$D$14,$C$14=F15),Datos!G34,"")</f>
        <v/>
      </c>
      <c r="H29" s="5" t="str">
        <f>IF(AND(OR($C$13=$D$15,$C$13=$D$16),$C$14=F15,C11=D6),Datos!G40,"")</f>
        <v/>
      </c>
      <c r="I29" s="5"/>
      <c r="J29" s="9" t="s">
        <v>169</v>
      </c>
      <c r="K29" s="46"/>
      <c r="L29" s="22">
        <f>IF(OR(C29=A36,AND(C29=A35,C30&gt;=2011)),(L4+(M4/6))*L68,0)</f>
        <v>0</v>
      </c>
      <c r="M29" s="11">
        <v>0</v>
      </c>
      <c r="P29" s="5"/>
      <c r="Q29" s="5"/>
      <c r="R29" s="5"/>
      <c r="S29" s="5"/>
      <c r="T29" s="5"/>
      <c r="U29" s="5"/>
      <c r="V29" s="5"/>
      <c r="W29" s="5"/>
    </row>
    <row r="30" spans="1:29" ht="14.65" thickBot="1" x14ac:dyDescent="0.5">
      <c r="A30" s="5"/>
      <c r="B30" s="27" t="str">
        <f>IF(C29=A35,"¿En qué año aprobaste la oposición?","")</f>
        <v/>
      </c>
      <c r="C30" s="20"/>
      <c r="D30" s="5">
        <f>IF($C$27&lt;=200,Datos!G110,"")</f>
        <v>66.239999999999995</v>
      </c>
      <c r="E30" s="5" t="str">
        <f>IF(AND(C11=D5,$D$12=$D$14,$C$14=F16),Datos!G67,"")</f>
        <v/>
      </c>
      <c r="F30" s="5" t="str">
        <f>IF(AND(OR($C$13=$D$15,$C$13=$D$16),$C$14=F16,C11=D5),Datos!G71,"")</f>
        <v/>
      </c>
      <c r="G30" s="5" t="str">
        <f>IF(AND(C11=D6,$D12=$D$14,$C$14=F13),Datos!G35,"")</f>
        <v/>
      </c>
      <c r="H30" s="5" t="str">
        <f>IF(AND(OR($C$13=$D$15,$C$13=$D$16),$C$14=F16,C11=D6),Datos!G41,"")</f>
        <v/>
      </c>
      <c r="I30" s="5"/>
      <c r="J30" s="9" t="s">
        <v>170</v>
      </c>
      <c r="K30" s="46"/>
      <c r="L30" s="53">
        <f>IF(C29=A37,L4*0.0647+M4*0.0647/6,0)</f>
        <v>223.31140299999996</v>
      </c>
      <c r="M30" s="11">
        <v>0</v>
      </c>
      <c r="P30" s="5"/>
      <c r="Q30" s="5"/>
      <c r="R30" s="5"/>
      <c r="S30" s="5"/>
      <c r="T30" s="5"/>
      <c r="U30" s="5"/>
      <c r="V30" s="5"/>
      <c r="W30" s="5"/>
    </row>
    <row r="31" spans="1:29" ht="14.65" thickBot="1" x14ac:dyDescent="0.5">
      <c r="A31" s="5"/>
      <c r="B31" s="166" t="s">
        <v>175</v>
      </c>
      <c r="C31" s="167"/>
      <c r="D31" s="5">
        <f>IF($C$27&lt;=250,Datos!G111,"")</f>
        <v>82.8</v>
      </c>
      <c r="E31" s="5" t="str">
        <f>IF(AND($C$13=$D$14,$C$15&lt;&gt;"",$C$15&lt;&gt;$G$13,$C$14=F17),Datos!G36,"")</f>
        <v/>
      </c>
      <c r="F31" s="5"/>
      <c r="G31" s="5" t="str">
        <f>IF(AND(C11=D6,$D12=$D$14,$C$14=F16),Datos!G36,"")</f>
        <v/>
      </c>
      <c r="H31" s="5" t="str">
        <f>IF(AND(OR($C$13=$D$15,$C$13=$D$16),$C$14=F17,C11=D6),Datos!G42,"")</f>
        <v/>
      </c>
      <c r="I31" s="5"/>
      <c r="J31" s="16" t="s">
        <v>171</v>
      </c>
      <c r="K31" s="55">
        <f>L61</f>
        <v>0.2228896215837218</v>
      </c>
      <c r="L31" s="54">
        <f>L4*K31</f>
        <v>675.26193975761191</v>
      </c>
      <c r="M31" s="57">
        <f>M4*K31</f>
        <v>564.23616145432845</v>
      </c>
      <c r="O31" s="5"/>
      <c r="P31" s="5"/>
      <c r="Q31" s="5"/>
      <c r="R31" s="5"/>
      <c r="S31" s="5"/>
      <c r="T31" s="5"/>
      <c r="U31" s="5"/>
      <c r="V31" s="5"/>
      <c r="W31" s="5"/>
    </row>
    <row r="32" spans="1:29" ht="14.65" thickBot="1" x14ac:dyDescent="0.5">
      <c r="A32" s="5"/>
      <c r="B32" s="27" t="s">
        <v>177</v>
      </c>
      <c r="C32" s="20" t="s">
        <v>144</v>
      </c>
      <c r="D32" s="5">
        <f>IF($C$27&lt;=300,Datos!G112,"")</f>
        <v>99.36</v>
      </c>
      <c r="E32" s="5" t="str">
        <f>IF(AND($C$13=$D$14,$C$15&lt;&gt;"",$C$15&lt;&gt;$G$13,$C$14=F18),Datos!G37,"")</f>
        <v/>
      </c>
      <c r="F32" s="5"/>
      <c r="G32" s="5" t="str">
        <f>IF(AND(C11=D6,$D12=$D$14,$C$14=F17),Datos!G37,"")</f>
        <v/>
      </c>
      <c r="H32" s="5"/>
      <c r="I32" s="5"/>
      <c r="O32" s="5" t="s">
        <v>182</v>
      </c>
      <c r="P32" s="5"/>
      <c r="Q32" s="5"/>
      <c r="R32" s="5"/>
      <c r="S32" s="5"/>
      <c r="T32" s="5"/>
      <c r="U32" s="5"/>
      <c r="V32" s="5"/>
      <c r="W32" s="5"/>
    </row>
    <row r="33" spans="1:23" ht="14.65" thickBot="1" x14ac:dyDescent="0.5">
      <c r="A33" s="5"/>
      <c r="B33" s="27" t="s">
        <v>197</v>
      </c>
      <c r="C33" s="148">
        <v>0</v>
      </c>
      <c r="D33" s="5">
        <f>IF($C$27&lt;=350,Datos!G113,"")</f>
        <v>115.92</v>
      </c>
      <c r="E33" s="5"/>
      <c r="F33" s="5" t="str">
        <f>IF(AND(OR($C$13=$D$15,$C$13=$D$16),$C$15&lt;&gt;"",$C$15&lt;&gt;$G$13,$C$14=F19),Datos!G44,"")</f>
        <v/>
      </c>
      <c r="G33" s="5" t="str">
        <f>IF(AND(C11=D6,$D12=$D$14,$C$14=F18),Datos!G38,"")</f>
        <v/>
      </c>
      <c r="H33" s="5"/>
      <c r="I33" s="5"/>
      <c r="J33" s="25"/>
      <c r="K33" s="25"/>
      <c r="L33" s="25"/>
      <c r="M33" s="25"/>
      <c r="O33" s="5" t="s">
        <v>183</v>
      </c>
      <c r="P33" s="5">
        <v>2400</v>
      </c>
      <c r="Q33" s="5">
        <v>2400</v>
      </c>
      <c r="R33" s="5"/>
      <c r="S33" s="5"/>
      <c r="T33" s="5"/>
      <c r="U33" s="5"/>
      <c r="V33" s="5"/>
      <c r="W33" s="5"/>
    </row>
    <row r="34" spans="1:23" ht="14.65" thickBot="1" x14ac:dyDescent="0.5">
      <c r="A34" s="5"/>
      <c r="B34" s="27" t="s">
        <v>196</v>
      </c>
      <c r="C34" s="148">
        <v>0</v>
      </c>
      <c r="D34" s="5">
        <f>IF($C$27&lt;=450,Datos!G114,"")</f>
        <v>132.47999999999999</v>
      </c>
      <c r="E34" s="5"/>
      <c r="F34" s="5"/>
      <c r="G34" s="5"/>
      <c r="H34" s="5"/>
      <c r="I34" s="5"/>
      <c r="J34" s="85" t="s">
        <v>173</v>
      </c>
      <c r="K34" s="86"/>
      <c r="L34" s="87"/>
      <c r="M34" s="25"/>
      <c r="O34" s="5" t="s">
        <v>184</v>
      </c>
      <c r="P34" s="5">
        <v>2700</v>
      </c>
      <c r="Q34" s="5">
        <f>Q33+P34</f>
        <v>5100</v>
      </c>
      <c r="R34" s="5"/>
      <c r="S34" s="5"/>
      <c r="T34" s="5"/>
      <c r="U34" s="5"/>
      <c r="V34" s="5"/>
      <c r="W34" s="5"/>
    </row>
    <row r="35" spans="1:23" ht="14.65" thickBot="1" x14ac:dyDescent="0.5">
      <c r="A35" s="5" t="s">
        <v>165</v>
      </c>
      <c r="B35" s="28" t="s">
        <v>180</v>
      </c>
      <c r="C35" s="20">
        <v>0</v>
      </c>
      <c r="D35" s="5">
        <f>IF($C$27&lt;=450,Datos!G115,"")</f>
        <v>149.04</v>
      </c>
      <c r="E35" s="5"/>
      <c r="F35" s="5"/>
      <c r="G35" s="5"/>
      <c r="H35" s="5"/>
      <c r="I35" s="5"/>
      <c r="J35" s="42" t="s">
        <v>174</v>
      </c>
      <c r="K35" s="43"/>
      <c r="L35" s="81">
        <f>L4*12+M4*2</f>
        <v>41417.879999999997</v>
      </c>
      <c r="O35" s="5" t="s">
        <v>185</v>
      </c>
      <c r="P35" s="5">
        <v>4000</v>
      </c>
      <c r="Q35" s="5">
        <f>Q34+P35</f>
        <v>9100</v>
      </c>
      <c r="R35" s="5"/>
      <c r="S35" s="5"/>
      <c r="T35" s="5"/>
      <c r="U35" s="5"/>
      <c r="V35" s="5"/>
      <c r="W35" s="5"/>
    </row>
    <row r="36" spans="1:23" ht="14.75" customHeight="1" thickBot="1" x14ac:dyDescent="0.5">
      <c r="A36" s="5" t="s">
        <v>166</v>
      </c>
      <c r="B36" s="27" t="s">
        <v>179</v>
      </c>
      <c r="C36" s="20">
        <v>0</v>
      </c>
      <c r="D36" s="5">
        <f>IF($C$27&lt;=1000050,Datos!G116,"")</f>
        <v>165.6</v>
      </c>
      <c r="E36" s="5"/>
      <c r="F36" s="5"/>
      <c r="G36" s="5"/>
      <c r="H36" s="5"/>
      <c r="I36" s="5"/>
      <c r="J36" s="9" t="s">
        <v>265</v>
      </c>
      <c r="K36" s="10"/>
      <c r="L36" s="11">
        <f>IF(AND(C47="Sí",L35&lt;33007.2),TRUNC(L35*0.02),0)</f>
        <v>0</v>
      </c>
      <c r="M36" s="24"/>
      <c r="N36" s="24"/>
      <c r="O36" s="5" t="s">
        <v>186</v>
      </c>
      <c r="P36" s="5">
        <v>4500</v>
      </c>
      <c r="Q36" s="5"/>
      <c r="R36" s="5"/>
      <c r="S36" s="5"/>
      <c r="T36" s="5"/>
      <c r="U36" s="5"/>
      <c r="V36" s="5"/>
      <c r="W36" s="5"/>
    </row>
    <row r="37" spans="1:23" ht="14.75" customHeight="1" thickBot="1" x14ac:dyDescent="0.5">
      <c r="A37" s="5" t="s">
        <v>167</v>
      </c>
      <c r="B37" s="29" t="s">
        <v>202</v>
      </c>
      <c r="C37" s="20" t="s">
        <v>144</v>
      </c>
      <c r="D37" s="5" t="str">
        <f>IF(B69=A68,"Sí","No")</f>
        <v>No</v>
      </c>
      <c r="E37" s="5"/>
      <c r="F37" s="5"/>
      <c r="G37" s="5"/>
      <c r="H37" s="5"/>
      <c r="I37" s="5"/>
      <c r="J37" s="9" t="s">
        <v>271</v>
      </c>
      <c r="K37" s="10"/>
      <c r="L37" s="11">
        <f>IF(L35-L38&lt;14047.5,6498,IF(L35-L38&lt;19747.5,6498-(1.14*(L35-L38-14047.5)),0))</f>
        <v>0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4.75" customHeight="1" thickBot="1" x14ac:dyDescent="0.5">
      <c r="A38" s="5" t="s">
        <v>188</v>
      </c>
      <c r="B38" s="27" t="s">
        <v>187</v>
      </c>
      <c r="C38" s="20" t="s">
        <v>188</v>
      </c>
      <c r="D38" s="5"/>
      <c r="E38" s="5"/>
      <c r="F38" s="5"/>
      <c r="G38" s="5"/>
      <c r="H38" s="5"/>
      <c r="I38" s="5"/>
      <c r="J38" s="42" t="s">
        <v>242</v>
      </c>
      <c r="K38" s="43"/>
      <c r="L38" s="81">
        <f>SUM(L26:L29)*14+SUM(M26:M29)*2</f>
        <v>0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4.75" customHeight="1" thickBot="1" x14ac:dyDescent="0.5">
      <c r="A39" s="5" t="s">
        <v>190</v>
      </c>
      <c r="B39" s="29" t="s">
        <v>195</v>
      </c>
      <c r="C39" s="20" t="s">
        <v>144</v>
      </c>
      <c r="D39" s="5"/>
      <c r="E39" s="5"/>
      <c r="F39" s="5"/>
      <c r="G39" s="5"/>
      <c r="H39" s="5"/>
      <c r="I39" s="5"/>
      <c r="J39" s="42" t="s">
        <v>247</v>
      </c>
      <c r="K39" s="43"/>
      <c r="L39" s="81">
        <f>C33+2000+M40</f>
        <v>2000</v>
      </c>
      <c r="M39" s="5"/>
      <c r="N39" s="5"/>
      <c r="O39" s="24"/>
      <c r="P39" s="5"/>
      <c r="Q39" s="5"/>
      <c r="R39" s="5"/>
      <c r="S39" s="5"/>
      <c r="T39" s="5"/>
      <c r="U39" s="5"/>
      <c r="V39" s="5"/>
      <c r="W39" s="5"/>
    </row>
    <row r="40" spans="1:23" ht="14.75" customHeight="1" thickBot="1" x14ac:dyDescent="0.5">
      <c r="A40" s="5" t="s">
        <v>189</v>
      </c>
      <c r="B40" s="27" t="s">
        <v>198</v>
      </c>
      <c r="C40" s="20">
        <v>0</v>
      </c>
      <c r="D40" s="5"/>
      <c r="E40" s="5"/>
      <c r="F40" s="5"/>
      <c r="G40" s="5"/>
      <c r="H40" s="5"/>
      <c r="I40" s="5"/>
      <c r="J40" s="42" t="s">
        <v>176</v>
      </c>
      <c r="K40" s="43"/>
      <c r="L40" s="81">
        <f>IF(C32="Sí",1150+5550,5550)</f>
        <v>5550</v>
      </c>
      <c r="M40" s="5">
        <f>IF(AND(C38=A41,C39="No"),3500,IF(OR(C38=A40,C38=A41),7750,0))</f>
        <v>0</v>
      </c>
      <c r="N40" s="5"/>
      <c r="O40" s="24"/>
      <c r="P40" s="5"/>
      <c r="Q40" s="5"/>
      <c r="R40" s="5"/>
      <c r="S40" s="5"/>
      <c r="T40" s="5"/>
      <c r="U40" s="5"/>
      <c r="V40" s="5"/>
      <c r="W40" s="5"/>
    </row>
    <row r="41" spans="1:23" ht="14.75" customHeight="1" x14ac:dyDescent="0.45">
      <c r="A41" s="5" t="s">
        <v>191</v>
      </c>
      <c r="B41" s="168" t="s">
        <v>213</v>
      </c>
      <c r="C41" s="170">
        <v>0</v>
      </c>
      <c r="D41" s="5"/>
      <c r="E41" s="5"/>
      <c r="F41" s="5"/>
      <c r="G41" s="5"/>
      <c r="H41" s="5"/>
      <c r="I41" s="5"/>
      <c r="J41" s="42" t="s">
        <v>178</v>
      </c>
      <c r="K41" s="43"/>
      <c r="L41" s="81">
        <f>SUM(C70:C73)</f>
        <v>0</v>
      </c>
      <c r="M41" s="5"/>
      <c r="N41" s="5"/>
      <c r="O41" s="24"/>
      <c r="P41" s="5"/>
      <c r="Q41" s="5"/>
      <c r="R41" s="5"/>
      <c r="S41" s="5"/>
      <c r="T41" s="5"/>
      <c r="U41" s="5"/>
      <c r="V41" s="5"/>
      <c r="W41" s="5"/>
    </row>
    <row r="42" spans="1:23" ht="14.75" customHeight="1" x14ac:dyDescent="0.45">
      <c r="A42" s="5"/>
      <c r="B42" s="168"/>
      <c r="C42" s="171"/>
      <c r="D42" s="5"/>
      <c r="E42" s="5"/>
      <c r="F42" s="5"/>
      <c r="G42" s="5"/>
      <c r="H42" s="5"/>
      <c r="I42" s="5"/>
      <c r="J42" s="42" t="s">
        <v>181</v>
      </c>
      <c r="K42" s="43"/>
      <c r="L42" s="81">
        <f>IF(C37="no",M48/2+1400*C36,M48+2800*C36)</f>
        <v>0</v>
      </c>
      <c r="M42" s="5"/>
      <c r="N42" s="5"/>
      <c r="O42" s="24"/>
      <c r="P42" s="5"/>
      <c r="Q42" s="5"/>
      <c r="R42" s="5"/>
      <c r="S42" s="5"/>
      <c r="T42" s="5"/>
      <c r="U42" s="5"/>
      <c r="V42" s="5"/>
      <c r="W42" s="5"/>
    </row>
    <row r="43" spans="1:23" ht="14.75" customHeight="1" thickBot="1" x14ac:dyDescent="0.5">
      <c r="A43" s="5"/>
      <c r="B43" s="169"/>
      <c r="C43" s="172"/>
      <c r="D43" s="5"/>
      <c r="E43" s="5"/>
      <c r="F43" s="5"/>
      <c r="G43" s="5"/>
      <c r="H43" s="5"/>
      <c r="I43" s="5"/>
      <c r="J43" s="42" t="s">
        <v>192</v>
      </c>
      <c r="K43" s="43"/>
      <c r="L43" s="81">
        <f>IF(C38=A40,9000,IF(C38=A41,3000,0))</f>
        <v>0</v>
      </c>
      <c r="M43" s="5"/>
      <c r="N43" s="5"/>
      <c r="O43" s="24"/>
      <c r="P43" s="5"/>
      <c r="Q43" s="5"/>
      <c r="R43" s="5"/>
      <c r="S43" s="5"/>
      <c r="T43" s="5"/>
      <c r="U43" s="5"/>
      <c r="V43" s="5"/>
      <c r="W43" s="5"/>
    </row>
    <row r="44" spans="1:23" ht="14.75" customHeight="1" x14ac:dyDescent="0.45">
      <c r="A44" s="5"/>
      <c r="B44" s="173" t="s">
        <v>213</v>
      </c>
      <c r="C44" s="170">
        <v>0</v>
      </c>
      <c r="D44" s="5"/>
      <c r="E44" s="5"/>
      <c r="F44" s="5"/>
      <c r="G44" s="5"/>
      <c r="H44" s="5"/>
      <c r="I44" s="5"/>
      <c r="J44" s="42" t="s">
        <v>193</v>
      </c>
      <c r="K44" s="43"/>
      <c r="L44" s="81">
        <f>SUM(C74:C77)</f>
        <v>0</v>
      </c>
      <c r="M44" s="5"/>
      <c r="N44" s="5"/>
      <c r="O44" s="24"/>
      <c r="P44" s="5"/>
      <c r="Q44" s="5"/>
      <c r="R44" s="5"/>
      <c r="S44" s="5"/>
      <c r="T44" s="5"/>
      <c r="U44" s="5"/>
      <c r="V44" s="5"/>
      <c r="W44" s="5"/>
    </row>
    <row r="45" spans="1:23" ht="14.75" customHeight="1" x14ac:dyDescent="0.45">
      <c r="A45" s="5"/>
      <c r="B45" s="168"/>
      <c r="C45" s="171"/>
      <c r="D45" s="5"/>
      <c r="E45" s="5"/>
      <c r="F45" s="5"/>
      <c r="G45" s="5"/>
      <c r="H45" s="5"/>
      <c r="I45" s="5"/>
      <c r="J45" s="42" t="s">
        <v>194</v>
      </c>
      <c r="K45" s="43"/>
      <c r="L45" s="81">
        <f>IF(C37="Sí",M50,M50/2)</f>
        <v>0</v>
      </c>
      <c r="M45" s="5"/>
      <c r="N45" s="5"/>
      <c r="O45" s="24"/>
      <c r="P45" s="5"/>
      <c r="Q45" s="5"/>
      <c r="R45" s="5"/>
      <c r="S45" s="5"/>
      <c r="T45" s="5"/>
      <c r="U45" s="5"/>
      <c r="V45" s="5"/>
      <c r="W45" s="5"/>
    </row>
    <row r="46" spans="1:23" ht="14.75" customHeight="1" thickBot="1" x14ac:dyDescent="0.5">
      <c r="A46" s="5"/>
      <c r="B46" s="169"/>
      <c r="C46" s="172"/>
      <c r="D46" s="5"/>
      <c r="E46" s="5"/>
      <c r="F46" s="5"/>
      <c r="G46" s="5"/>
      <c r="H46" s="5"/>
      <c r="I46" s="5"/>
      <c r="J46" s="42" t="s">
        <v>212</v>
      </c>
      <c r="K46" s="43"/>
      <c r="L46" s="81">
        <f>IF(OR(C39="Sí",C38=A40),3000,0)</f>
        <v>0</v>
      </c>
      <c r="M46" s="5"/>
      <c r="N46" s="5"/>
      <c r="O46" s="24"/>
      <c r="P46" s="5"/>
      <c r="Q46" s="5"/>
      <c r="R46" s="5"/>
      <c r="S46" s="5"/>
      <c r="T46" s="5"/>
      <c r="U46" s="5"/>
      <c r="V46" s="5"/>
      <c r="W46" s="5"/>
    </row>
    <row r="47" spans="1:23" ht="14.75" customHeight="1" thickBot="1" x14ac:dyDescent="0.5">
      <c r="A47" s="24"/>
      <c r="B47" s="27" t="s">
        <v>273</v>
      </c>
      <c r="C47" s="20" t="s">
        <v>144</v>
      </c>
      <c r="D47" s="5"/>
      <c r="E47" s="5"/>
      <c r="F47" s="5"/>
      <c r="G47" s="5"/>
      <c r="H47" s="5"/>
      <c r="I47" s="5"/>
      <c r="J47" s="9" t="s">
        <v>214</v>
      </c>
      <c r="K47" s="10"/>
      <c r="L47" s="11">
        <f>SUM(L40:L46)</f>
        <v>5550</v>
      </c>
      <c r="M47" s="5"/>
      <c r="N47" s="5"/>
      <c r="O47" s="24"/>
      <c r="P47" s="5"/>
      <c r="Q47" s="5"/>
      <c r="R47" s="5"/>
      <c r="S47" s="5"/>
      <c r="T47" s="5"/>
      <c r="U47" s="5"/>
      <c r="V47" s="5"/>
      <c r="W47" s="5"/>
    </row>
    <row r="48" spans="1:23" ht="14.75" customHeight="1" thickBot="1" x14ac:dyDescent="0.5">
      <c r="A48" s="24"/>
      <c r="B48" s="27" t="s">
        <v>266</v>
      </c>
      <c r="C48" s="149"/>
      <c r="D48" s="5"/>
      <c r="E48" s="5"/>
      <c r="F48" s="5"/>
      <c r="G48" s="5"/>
      <c r="H48" s="5"/>
      <c r="I48" s="5"/>
      <c r="J48" s="9" t="s">
        <v>215</v>
      </c>
      <c r="K48" s="10"/>
      <c r="L48" s="11">
        <f>MAX(0,L35-L38-L39-L37)</f>
        <v>39417.879999999997</v>
      </c>
      <c r="M48" s="5">
        <f>IF(C35=1,Q33,IF(C35=2,Q34,IF(C35=3,Q35,IF(C35&lt;1,0,Q35+4500*(C35-3)))))</f>
        <v>0</v>
      </c>
      <c r="N48" s="5"/>
      <c r="O48" s="24"/>
      <c r="P48" s="5"/>
      <c r="Q48" s="5"/>
      <c r="R48" s="5"/>
      <c r="S48" s="5"/>
      <c r="T48" s="5"/>
      <c r="U48" s="5"/>
      <c r="V48" s="5"/>
      <c r="W48" s="5"/>
    </row>
    <row r="49" spans="1:23" ht="14.75" customHeight="1" thickBot="1" x14ac:dyDescent="0.5">
      <c r="A49" s="24"/>
      <c r="B49" s="30" t="s">
        <v>199</v>
      </c>
      <c r="C49" s="141"/>
      <c r="D49" s="5"/>
      <c r="E49" s="5"/>
      <c r="F49" s="5"/>
      <c r="G49" s="5"/>
      <c r="H49" s="5"/>
      <c r="I49" s="5"/>
      <c r="J49" s="9" t="s">
        <v>216</v>
      </c>
      <c r="K49" s="10"/>
      <c r="L49" s="11">
        <f>IF(L47&gt;12450,0,MAX(0,MIN(12450,L48)-L47))</f>
        <v>6900</v>
      </c>
      <c r="M49" s="5"/>
      <c r="N49" s="5"/>
      <c r="O49" s="24"/>
      <c r="P49" s="5"/>
      <c r="Q49" s="5"/>
      <c r="R49" s="5"/>
      <c r="S49" s="5"/>
      <c r="T49" s="5"/>
      <c r="U49" s="5"/>
      <c r="V49" s="5"/>
      <c r="W49" s="5"/>
    </row>
    <row r="50" spans="1:23" ht="14.75" customHeight="1" thickBot="1" x14ac:dyDescent="0.5">
      <c r="A50" s="24"/>
      <c r="B50" s="30" t="s">
        <v>200</v>
      </c>
      <c r="C50" s="141"/>
      <c r="D50" s="5"/>
      <c r="E50" s="5"/>
      <c r="F50" s="5"/>
      <c r="G50" s="5"/>
      <c r="H50" s="5"/>
      <c r="I50" s="5"/>
      <c r="J50" s="9" t="s">
        <v>217</v>
      </c>
      <c r="K50" s="10"/>
      <c r="L50" s="11">
        <f>IF(IF(L47&gt;20200,0,IF(L48&gt;20200,MIN(20200-L47,20200-12450),MIN(L48-L47,L48-12450)))&lt;0,0,IF(L47&gt;20200,0,IF(L48&gt;20200,MIN(20200-L47,20200-12450),MIN(L48-L47,L48-12450))))</f>
        <v>7750</v>
      </c>
      <c r="M50" s="5">
        <f>C40*12000+C41*6000+C44*3000</f>
        <v>0</v>
      </c>
      <c r="N50" s="5"/>
      <c r="O50" s="24"/>
      <c r="P50" s="5"/>
      <c r="Q50" s="5"/>
      <c r="R50" s="5"/>
      <c r="S50" s="5"/>
      <c r="T50" s="5"/>
      <c r="U50" s="5"/>
      <c r="V50" s="5"/>
      <c r="W50" s="5"/>
    </row>
    <row r="51" spans="1:23" ht="14.75" customHeight="1" thickBot="1" x14ac:dyDescent="0.5">
      <c r="A51" s="24"/>
      <c r="B51" s="30" t="s">
        <v>207</v>
      </c>
      <c r="C51" s="20"/>
      <c r="D51" s="5"/>
      <c r="E51" s="5"/>
      <c r="F51" s="5"/>
      <c r="G51" s="5"/>
      <c r="H51" s="5"/>
      <c r="I51" s="5"/>
      <c r="J51" s="9" t="s">
        <v>218</v>
      </c>
      <c r="K51" s="10"/>
      <c r="L51" s="11">
        <f>IF(IF(L47&gt;35200,0,IF(L48&gt;35200,MIN(35200-L47,35200-20200),MIN(L48-L47,L48-20200)))&lt;0,0,IF(L47&gt;35200,0,IF(L48&gt;35200,MIN(35200-L47,35200-20200),MIN(L48-L47,L48-20200))))</f>
        <v>15000</v>
      </c>
      <c r="M51" s="5"/>
      <c r="N51" s="5"/>
      <c r="O51" s="24"/>
      <c r="P51" s="5"/>
      <c r="Q51" s="5"/>
      <c r="R51" s="5"/>
      <c r="S51" s="5"/>
      <c r="T51" s="5"/>
      <c r="U51" s="5"/>
      <c r="V51" s="5"/>
      <c r="W51" s="5"/>
    </row>
    <row r="52" spans="1:23" ht="14.75" customHeight="1" thickBot="1" x14ac:dyDescent="0.5">
      <c r="A52" s="5"/>
      <c r="B52" s="31" t="s">
        <v>201</v>
      </c>
      <c r="C52" s="141"/>
      <c r="D52" s="5"/>
      <c r="E52" s="5"/>
      <c r="F52" s="5"/>
      <c r="G52" s="5"/>
      <c r="H52" s="5"/>
      <c r="I52" s="5"/>
      <c r="J52" s="9" t="s">
        <v>219</v>
      </c>
      <c r="K52" s="10"/>
      <c r="L52" s="11">
        <f>IF(IF(L47&gt;60000,0,IF(L48&gt;60000,MIN(35200-L47,60000-35200),MIN(L48-L47,L48-35200)))&lt;0,0,IF(L47&gt;60000,0,IF(L48&gt;60000,MIN(35200-L47,60000-35200),MIN(L48-L47,L48-35200))))</f>
        <v>4217.8799999999974</v>
      </c>
      <c r="M52" s="5"/>
      <c r="N52" s="5"/>
      <c r="O52" s="24"/>
      <c r="P52" s="5"/>
      <c r="Q52" s="5"/>
      <c r="R52" s="5"/>
      <c r="S52" s="5"/>
      <c r="T52" s="5"/>
      <c r="U52" s="5"/>
      <c r="V52" s="5"/>
      <c r="W52" s="5"/>
    </row>
    <row r="53" spans="1:23" ht="14.75" customHeight="1" thickBot="1" x14ac:dyDescent="0.5">
      <c r="A53" s="5"/>
      <c r="B53" s="27" t="s">
        <v>267</v>
      </c>
      <c r="C53" s="149"/>
      <c r="H53" s="5"/>
      <c r="I53" s="5"/>
      <c r="J53" s="9" t="s">
        <v>220</v>
      </c>
      <c r="K53" s="10"/>
      <c r="L53" s="11">
        <f>IF(IF(L47&gt;30000,0,IF(L48&gt;300000,MIN(60000-L47,300000-60000),MIN(L48-L47,L48-60000)))&lt;0,0,IF(L47&gt;30000,0,IF(L48&gt;300000,MIN(60000-L47,300000-60000),MIN(L48-L47,L48-60000))))</f>
        <v>0</v>
      </c>
      <c r="M53" s="5"/>
      <c r="N53" s="5"/>
      <c r="O53" s="24"/>
      <c r="P53" s="5"/>
      <c r="Q53" s="5"/>
      <c r="R53" s="5"/>
      <c r="S53" s="5"/>
      <c r="T53" s="5"/>
      <c r="U53" s="5"/>
      <c r="V53" s="5"/>
      <c r="W53" s="5"/>
    </row>
    <row r="54" spans="1:23" ht="14.75" customHeight="1" thickBot="1" x14ac:dyDescent="0.5">
      <c r="A54" s="5"/>
      <c r="B54" s="30" t="s">
        <v>199</v>
      </c>
      <c r="C54" s="141"/>
      <c r="H54" s="5"/>
      <c r="I54" s="5"/>
      <c r="J54" s="9" t="s">
        <v>221</v>
      </c>
      <c r="K54" s="10"/>
      <c r="L54" s="11">
        <f>ROUND(L49*0.19,2)</f>
        <v>1311</v>
      </c>
      <c r="M54" s="5"/>
      <c r="N54" s="5"/>
      <c r="O54" s="24"/>
      <c r="P54" s="5"/>
      <c r="Q54" s="5"/>
      <c r="R54" s="5"/>
      <c r="S54" s="5"/>
      <c r="T54" s="5"/>
      <c r="U54" s="5"/>
      <c r="V54" s="5"/>
      <c r="W54" s="5"/>
    </row>
    <row r="55" spans="1:23" ht="14.75" customHeight="1" thickBot="1" x14ac:dyDescent="0.5">
      <c r="A55" s="5"/>
      <c r="B55" s="30" t="s">
        <v>200</v>
      </c>
      <c r="C55" s="141"/>
      <c r="G55" s="5"/>
      <c r="H55" s="5"/>
      <c r="I55" s="5"/>
      <c r="J55" s="9" t="s">
        <v>222</v>
      </c>
      <c r="K55" s="10"/>
      <c r="L55" s="11">
        <f>ROUND(L50*0.24,2)</f>
        <v>1860</v>
      </c>
      <c r="M55" s="5"/>
      <c r="N55" s="5"/>
      <c r="P55" s="5"/>
      <c r="Q55" s="5"/>
      <c r="R55" s="5"/>
      <c r="S55" s="5"/>
      <c r="T55" s="5"/>
      <c r="U55" s="5"/>
      <c r="V55" s="5"/>
      <c r="W55" s="5"/>
    </row>
    <row r="56" spans="1:23" ht="14.75" customHeight="1" thickBot="1" x14ac:dyDescent="0.5">
      <c r="A56" s="5"/>
      <c r="B56" s="30" t="s">
        <v>207</v>
      </c>
      <c r="C56" s="20"/>
      <c r="G56" s="5"/>
      <c r="H56" s="5"/>
      <c r="I56" s="5"/>
      <c r="J56" s="9" t="s">
        <v>223</v>
      </c>
      <c r="K56" s="10"/>
      <c r="L56" s="11">
        <f>ROUND(L51*0.3,2)</f>
        <v>4500</v>
      </c>
      <c r="M56" s="5"/>
      <c r="N56" s="5"/>
      <c r="P56" s="5"/>
      <c r="Q56" s="5"/>
      <c r="R56" s="5"/>
      <c r="S56" s="5"/>
      <c r="T56" s="5"/>
      <c r="U56" s="5"/>
      <c r="V56" s="5"/>
      <c r="W56" s="5"/>
    </row>
    <row r="57" spans="1:23" ht="14.75" customHeight="1" thickBot="1" x14ac:dyDescent="0.5">
      <c r="A57" s="5"/>
      <c r="B57" s="31" t="s">
        <v>201</v>
      </c>
      <c r="C57" s="141"/>
      <c r="G57" s="5"/>
      <c r="H57" s="5"/>
      <c r="I57" s="5"/>
      <c r="J57" s="9" t="s">
        <v>224</v>
      </c>
      <c r="K57" s="10"/>
      <c r="L57" s="11">
        <f>ROUND(L52*0.37,2)</f>
        <v>1560.62</v>
      </c>
      <c r="P57" s="5"/>
      <c r="Q57" s="5"/>
      <c r="R57" s="5"/>
      <c r="S57" s="5"/>
      <c r="T57" s="5"/>
      <c r="U57" s="5"/>
      <c r="V57" s="5"/>
      <c r="W57" s="5"/>
    </row>
    <row r="58" spans="1:23" ht="14.65" thickBot="1" x14ac:dyDescent="0.5">
      <c r="A58" s="5"/>
      <c r="B58" s="27" t="s">
        <v>268</v>
      </c>
      <c r="C58" s="149"/>
      <c r="G58" s="5"/>
      <c r="H58" s="5"/>
      <c r="I58" s="5"/>
      <c r="J58" s="9" t="s">
        <v>225</v>
      </c>
      <c r="K58" s="10"/>
      <c r="L58" s="11">
        <f>ROUND(L53*0.45,2)</f>
        <v>0</v>
      </c>
      <c r="P58" s="5"/>
      <c r="Q58" s="5"/>
      <c r="R58" s="5"/>
      <c r="S58" s="5"/>
      <c r="T58" s="5"/>
      <c r="U58" s="5"/>
      <c r="V58" s="5"/>
      <c r="W58" s="5"/>
    </row>
    <row r="59" spans="1:23" ht="14.65" thickBot="1" x14ac:dyDescent="0.5">
      <c r="A59" s="5"/>
      <c r="B59" s="30" t="s">
        <v>199</v>
      </c>
      <c r="C59" s="141"/>
      <c r="G59" s="5"/>
      <c r="H59" s="5"/>
      <c r="I59" s="5"/>
      <c r="J59" s="9" t="s">
        <v>272</v>
      </c>
      <c r="K59" s="10"/>
      <c r="L59" s="56">
        <f>SUM(L54:L58)</f>
        <v>9231.619999999999</v>
      </c>
      <c r="P59" s="5"/>
      <c r="Q59" s="5"/>
      <c r="R59" s="5"/>
      <c r="S59" s="5"/>
      <c r="T59" s="5"/>
      <c r="U59" s="5"/>
      <c r="V59" s="5"/>
      <c r="W59" s="5"/>
    </row>
    <row r="60" spans="1:23" ht="14.65" thickBot="1" x14ac:dyDescent="0.5">
      <c r="A60" s="5"/>
      <c r="B60" s="30" t="s">
        <v>200</v>
      </c>
      <c r="C60" s="141"/>
      <c r="G60" s="5"/>
      <c r="H60" s="5"/>
      <c r="I60" s="5"/>
      <c r="J60" s="9" t="s">
        <v>270</v>
      </c>
      <c r="K60" s="10"/>
      <c r="L60" s="56">
        <f>MAX(0,C129-L36)</f>
        <v>9231.6155999999992</v>
      </c>
      <c r="P60" s="5"/>
      <c r="Q60" s="5"/>
      <c r="R60" s="5"/>
      <c r="S60" s="5"/>
      <c r="T60" s="5"/>
      <c r="U60" s="5"/>
      <c r="V60" s="5"/>
      <c r="W60" s="5"/>
    </row>
    <row r="61" spans="1:23" ht="14.65" thickBot="1" x14ac:dyDescent="0.5">
      <c r="A61" s="5"/>
      <c r="B61" s="32" t="s">
        <v>207</v>
      </c>
      <c r="C61" s="20"/>
      <c r="G61" s="5"/>
      <c r="H61" s="5"/>
      <c r="I61" s="5"/>
      <c r="J61" s="91" t="s">
        <v>226</v>
      </c>
      <c r="K61" s="92"/>
      <c r="L61" s="93">
        <f>IF(M61&lt;0.02,0.02,M61)</f>
        <v>0.2228896215837218</v>
      </c>
      <c r="M61" s="5">
        <f>IF(L60&lt;L59,L60/L35,L59/L35)</f>
        <v>0.2228896215837218</v>
      </c>
    </row>
    <row r="62" spans="1:23" ht="14.65" thickBot="1" x14ac:dyDescent="0.5">
      <c r="A62" s="5"/>
      <c r="B62" s="31" t="s">
        <v>201</v>
      </c>
      <c r="C62" s="141"/>
      <c r="G62" s="5"/>
      <c r="H62" s="5"/>
      <c r="I62" s="5"/>
    </row>
    <row r="63" spans="1:23" ht="14.65" thickBot="1" x14ac:dyDescent="0.5">
      <c r="A63" s="5"/>
      <c r="B63" s="27" t="s">
        <v>269</v>
      </c>
      <c r="C63" s="149"/>
      <c r="G63" s="5"/>
      <c r="H63" s="5"/>
      <c r="I63" s="5"/>
      <c r="J63" s="85" t="s">
        <v>228</v>
      </c>
      <c r="K63" s="88"/>
      <c r="L63" s="89"/>
    </row>
    <row r="64" spans="1:23" ht="14.65" thickBot="1" x14ac:dyDescent="0.5">
      <c r="A64" s="5"/>
      <c r="B64" s="30" t="s">
        <v>199</v>
      </c>
      <c r="C64" s="141"/>
      <c r="G64" s="5"/>
      <c r="H64" s="5"/>
      <c r="I64" s="5"/>
      <c r="J64" s="9" t="s">
        <v>230</v>
      </c>
      <c r="K64" s="7"/>
      <c r="L64" s="82">
        <v>4.7E-2</v>
      </c>
    </row>
    <row r="65" spans="1:12" ht="14.65" thickBot="1" x14ac:dyDescent="0.5">
      <c r="A65" s="5"/>
      <c r="B65" s="30" t="s">
        <v>200</v>
      </c>
      <c r="C65" s="141"/>
      <c r="G65" s="5"/>
      <c r="H65" s="5"/>
      <c r="I65" s="5"/>
      <c r="J65" s="9" t="s">
        <v>231</v>
      </c>
      <c r="K65" s="7"/>
      <c r="L65" s="82">
        <v>1.1999999999999999E-3</v>
      </c>
    </row>
    <row r="66" spans="1:12" ht="14.65" thickBot="1" x14ac:dyDescent="0.5">
      <c r="A66" s="5"/>
      <c r="B66" s="32" t="s">
        <v>207</v>
      </c>
      <c r="C66" s="20"/>
      <c r="G66" s="5"/>
      <c r="H66" s="5"/>
      <c r="I66" s="5"/>
      <c r="J66" s="9" t="s">
        <v>236</v>
      </c>
      <c r="K66" s="7"/>
      <c r="L66" s="82">
        <v>0.28299999999999997</v>
      </c>
    </row>
    <row r="67" spans="1:12" ht="14.65" thickBot="1" x14ac:dyDescent="0.5">
      <c r="A67" s="5"/>
      <c r="B67" s="32" t="s">
        <v>201</v>
      </c>
      <c r="C67" s="141"/>
      <c r="G67" s="5"/>
      <c r="H67" s="5"/>
      <c r="I67" s="5"/>
      <c r="J67" s="9" t="s">
        <v>235</v>
      </c>
      <c r="K67" s="7"/>
      <c r="L67" s="46">
        <v>1.0999999999999999E-2</v>
      </c>
    </row>
    <row r="68" spans="1:12" ht="14.65" thickBot="1" x14ac:dyDescent="0.5">
      <c r="A68" s="35" t="s">
        <v>246</v>
      </c>
      <c r="B68" s="28" t="s">
        <v>243</v>
      </c>
      <c r="C68" s="80">
        <f>IF(B69=A68,1,IF(B69=A69,2,IF(B69=A70,3,0)))</f>
        <v>3</v>
      </c>
      <c r="G68" s="5"/>
      <c r="H68" s="5"/>
      <c r="I68" s="5"/>
      <c r="J68" s="91" t="s">
        <v>234</v>
      </c>
      <c r="K68" s="92"/>
      <c r="L68" s="94">
        <f>L64+L65-(L66*L67)</f>
        <v>4.5087000000000002E-2</v>
      </c>
    </row>
    <row r="69" spans="1:12" ht="42" customHeight="1" thickBot="1" x14ac:dyDescent="0.5">
      <c r="A69" s="35" t="s">
        <v>244</v>
      </c>
      <c r="B69" s="156" t="s">
        <v>245</v>
      </c>
      <c r="C69" s="157"/>
      <c r="G69" s="5"/>
      <c r="H69" s="5"/>
      <c r="I69" s="5"/>
    </row>
    <row r="70" spans="1:12" x14ac:dyDescent="0.45">
      <c r="A70" s="35" t="s">
        <v>245</v>
      </c>
      <c r="B70" s="5" t="s">
        <v>203</v>
      </c>
      <c r="C70" s="5">
        <f>IF(C49&gt;=75,ROUND((1150+1400)/C52,2),IF(C49&gt;=65,ROUND(1150/C52,2),0))</f>
        <v>0</v>
      </c>
      <c r="G70" s="5"/>
      <c r="H70" s="5"/>
      <c r="I70" s="5"/>
      <c r="J70" s="85" t="s">
        <v>229</v>
      </c>
      <c r="K70" s="88"/>
      <c r="L70" s="89"/>
    </row>
    <row r="71" spans="1:12" x14ac:dyDescent="0.45">
      <c r="A71" s="5"/>
      <c r="B71" s="5" t="s">
        <v>204</v>
      </c>
      <c r="C71" s="5">
        <f>IF(C54&gt;=75,ROUND((1150+1400)/C57,2),IF(C54&gt;=65,ROUND(1150/C57,2),0))</f>
        <v>0</v>
      </c>
      <c r="D71" s="5"/>
      <c r="E71" s="5"/>
      <c r="F71" s="5"/>
      <c r="G71" s="5"/>
      <c r="H71" s="5"/>
      <c r="I71" s="5"/>
      <c r="J71" s="9" t="s">
        <v>230</v>
      </c>
      <c r="K71" s="7"/>
      <c r="L71" s="82">
        <v>4.7E-2</v>
      </c>
    </row>
    <row r="72" spans="1:12" x14ac:dyDescent="0.45">
      <c r="A72" s="5"/>
      <c r="B72" s="5" t="s">
        <v>205</v>
      </c>
      <c r="C72" s="5">
        <f>IF(C59&gt;=75,ROUND((1150+1400)/C62,2),IF(C59&gt;=65,ROUND(1150/C62,2),0))</f>
        <v>0</v>
      </c>
      <c r="D72" s="5"/>
      <c r="E72" s="5"/>
      <c r="F72" s="5"/>
      <c r="G72" s="5"/>
      <c r="H72" s="5"/>
      <c r="I72" s="5"/>
      <c r="J72" s="9" t="s">
        <v>231</v>
      </c>
      <c r="K72" s="7"/>
      <c r="L72" s="82">
        <v>1.1999999999999999E-3</v>
      </c>
    </row>
    <row r="73" spans="1:12" x14ac:dyDescent="0.45">
      <c r="A73" s="5"/>
      <c r="B73" s="5" t="s">
        <v>206</v>
      </c>
      <c r="C73" s="5">
        <f>IF(C64&gt;=75,ROUND((1150+1400)/C67,2),IF(C64&gt;=65,ROUND(1150/C67,2),0))</f>
        <v>0</v>
      </c>
      <c r="D73" s="5"/>
      <c r="E73" s="5"/>
      <c r="F73" s="5"/>
      <c r="G73" s="5"/>
      <c r="H73" s="5"/>
      <c r="I73" s="5"/>
      <c r="J73" s="9" t="s">
        <v>232</v>
      </c>
      <c r="K73" s="7"/>
      <c r="L73" s="82">
        <v>1.55E-2</v>
      </c>
    </row>
    <row r="74" spans="1:12" x14ac:dyDescent="0.45">
      <c r="A74" s="25"/>
      <c r="B74" s="5" t="s">
        <v>208</v>
      </c>
      <c r="C74" s="5">
        <f>IF(C49&lt;65,0,IF(C50=A40,ROUND(12000/C52,2),IF(AND(C50=A41,C51="No"),ROUND(3000/C52,2),IF(AND(C50=A41,C51="Sí"),ROUND(6000/C52,2),""))))</f>
        <v>0</v>
      </c>
      <c r="D74" s="5"/>
      <c r="E74" s="5"/>
      <c r="F74" s="5"/>
      <c r="G74" s="5"/>
      <c r="H74" s="5"/>
      <c r="I74" s="5"/>
      <c r="J74" s="9" t="s">
        <v>233</v>
      </c>
      <c r="K74" s="7"/>
      <c r="L74" s="82">
        <v>1E-3</v>
      </c>
    </row>
    <row r="75" spans="1:12" ht="14.65" thickBot="1" x14ac:dyDescent="0.5">
      <c r="A75" s="25"/>
      <c r="B75" s="5" t="s">
        <v>209</v>
      </c>
      <c r="C75" s="5">
        <f>IF(C54&lt;65,0,IF(C55=A40,ROUND(12000/C57,2),IF(AND(C55=A41,C56="No"),ROUND(3000/C57,2),IF(AND(C55=A41,C56="Sí"),ROUND(6000/C57,2),""))))</f>
        <v>0</v>
      </c>
      <c r="D75" s="5"/>
      <c r="E75" s="5"/>
      <c r="F75" s="5"/>
      <c r="G75" s="5"/>
      <c r="H75" s="5"/>
      <c r="I75" s="5"/>
      <c r="J75" s="91" t="s">
        <v>234</v>
      </c>
      <c r="K75" s="92"/>
      <c r="L75" s="93">
        <f>SUM(L71:L74)</f>
        <v>6.4700000000000008E-2</v>
      </c>
    </row>
    <row r="76" spans="1:12" x14ac:dyDescent="0.45">
      <c r="A76" s="25"/>
      <c r="B76" s="5" t="s">
        <v>210</v>
      </c>
      <c r="C76" s="5">
        <f>IF(C59&lt;65,0,IF(C60=A40,ROUND(12000/C62,2),IF(AND(C60=A41,C61="No"),ROUND(3000/C62,2),IF(AND(C60=A41,C61="Sí"),ROUND(6000/C62,2),""))))</f>
        <v>0</v>
      </c>
      <c r="D76" s="5"/>
      <c r="E76" s="5"/>
      <c r="F76" s="5"/>
      <c r="G76" s="5"/>
      <c r="H76" s="5"/>
      <c r="I76" s="5"/>
    </row>
    <row r="77" spans="1:12" x14ac:dyDescent="0.45">
      <c r="A77" s="25"/>
      <c r="B77" s="5" t="s">
        <v>211</v>
      </c>
      <c r="C77" s="5">
        <f>IF(C64&lt;65,0,IF(C65=A40,ROUND(12000/C67,2),IF(AND(C65=A41,C66="No"),ROUND(3000/C67,2),IF(AND(C65=A41,C66="Sí"),ROUND(6000/C67,2),""))))</f>
        <v>0</v>
      </c>
      <c r="D77" s="5"/>
      <c r="E77" s="5"/>
      <c r="F77" s="5"/>
      <c r="G77" s="5"/>
      <c r="H77" s="5"/>
      <c r="I77" s="5"/>
    </row>
    <row r="78" spans="1:12" x14ac:dyDescent="0.45">
      <c r="A78" s="25"/>
      <c r="B78" s="5"/>
      <c r="C78" s="5"/>
      <c r="I78" s="5"/>
    </row>
    <row r="79" spans="1:12" x14ac:dyDescent="0.45">
      <c r="A79" s="25"/>
      <c r="B79" s="5" t="s">
        <v>248</v>
      </c>
      <c r="C79" s="5"/>
      <c r="I79" s="5"/>
    </row>
    <row r="80" spans="1:12" x14ac:dyDescent="0.45">
      <c r="A80" s="25"/>
      <c r="B80" s="5" t="s">
        <v>249</v>
      </c>
      <c r="C80" s="39">
        <f>L48-C34</f>
        <v>39417.879999999997</v>
      </c>
      <c r="I80" s="5"/>
    </row>
    <row r="81" spans="1:9" x14ac:dyDescent="0.45">
      <c r="A81" s="25"/>
      <c r="B81" s="5" t="s">
        <v>250</v>
      </c>
      <c r="C81" s="39">
        <f>C34</f>
        <v>0</v>
      </c>
      <c r="I81" s="5"/>
    </row>
    <row r="82" spans="1:9" x14ac:dyDescent="0.45">
      <c r="A82" s="25"/>
      <c r="B82" s="5" t="s">
        <v>251</v>
      </c>
      <c r="C82" s="40">
        <f>MAX(B84:B89)</f>
        <v>10286.115599999999</v>
      </c>
      <c r="I82" s="5"/>
    </row>
    <row r="83" spans="1:9" x14ac:dyDescent="0.45">
      <c r="A83" s="25"/>
      <c r="B83" s="5" t="s">
        <v>253</v>
      </c>
      <c r="C83" s="5"/>
      <c r="I83" s="5"/>
    </row>
    <row r="84" spans="1:9" x14ac:dyDescent="0.45">
      <c r="A84" s="25"/>
      <c r="B84" s="5" t="str">
        <f>IF(C80&lt;12450,0+(C80)*0.19,"")</f>
        <v/>
      </c>
      <c r="C84" s="5"/>
      <c r="I84" s="5"/>
    </row>
    <row r="85" spans="1:9" x14ac:dyDescent="0.45">
      <c r="A85" s="25"/>
      <c r="B85" s="5" t="str">
        <f>IF(AND(C80&gt;=12450,C80&lt;20200),2365.5+(C80-12450)*0.24,"")</f>
        <v/>
      </c>
      <c r="C85" s="5"/>
      <c r="I85" s="5"/>
    </row>
    <row r="86" spans="1:9" x14ac:dyDescent="0.45">
      <c r="A86" s="25"/>
      <c r="B86" s="5" t="str">
        <f>IF(AND(C80&gt;=20200,C80&lt;35200),4225.5+(C80-20200)*0.3,"")</f>
        <v/>
      </c>
      <c r="C86" s="5"/>
      <c r="I86" s="5"/>
    </row>
    <row r="87" spans="1:9" x14ac:dyDescent="0.45">
      <c r="A87" s="25"/>
      <c r="B87" s="5">
        <f>IF(AND(C80&gt;=35200,C80&lt;60000),8725.5+(C80-35200)*0.37,"")</f>
        <v>10286.115599999999</v>
      </c>
      <c r="C87" s="5"/>
      <c r="I87" s="5"/>
    </row>
    <row r="88" spans="1:9" x14ac:dyDescent="0.45">
      <c r="A88" s="25"/>
      <c r="B88" s="5" t="str">
        <f>IF(AND(C80&gt;=60000,C80&lt;300000),17901.5+(C80-60000)*0.45,"")</f>
        <v/>
      </c>
      <c r="C88" s="5"/>
      <c r="I88" s="5"/>
    </row>
    <row r="89" spans="1:9" x14ac:dyDescent="0.45">
      <c r="A89" s="25"/>
      <c r="B89" s="5" t="str">
        <f>IF(C80&gt;300000,125901.5+(C80-300000)*0.47,"")</f>
        <v/>
      </c>
      <c r="C89" s="5"/>
      <c r="I89" s="5"/>
    </row>
    <row r="90" spans="1:9" x14ac:dyDescent="0.45">
      <c r="A90" s="25"/>
      <c r="B90" s="5" t="s">
        <v>252</v>
      </c>
      <c r="C90" s="40">
        <f>MAX(B91:B96)</f>
        <v>0</v>
      </c>
      <c r="I90" s="5"/>
    </row>
    <row r="91" spans="1:9" x14ac:dyDescent="0.45">
      <c r="A91" s="25"/>
      <c r="B91" s="5">
        <f>IF(C81&lt;12450,0+(C81)*0.19,"")</f>
        <v>0</v>
      </c>
      <c r="C91" s="5"/>
      <c r="I91" s="5"/>
    </row>
    <row r="92" spans="1:9" x14ac:dyDescent="0.45">
      <c r="A92" s="25"/>
      <c r="B92" s="5" t="str">
        <f>IF(AND(C81&gt;=12450,C81&lt;20200),2365.5+(C81-12450)*0.24,"")</f>
        <v/>
      </c>
      <c r="C92" s="5"/>
      <c r="I92" s="5"/>
    </row>
    <row r="93" spans="1:9" x14ac:dyDescent="0.45">
      <c r="A93" s="25"/>
      <c r="B93" s="5" t="str">
        <f>IF(AND(C81&gt;=20200,C81&lt;35200),4225.5+(C81-20200)*0.3,"")</f>
        <v/>
      </c>
      <c r="C93" s="5"/>
      <c r="I93" s="5"/>
    </row>
    <row r="94" spans="1:9" x14ac:dyDescent="0.45">
      <c r="A94" s="25"/>
      <c r="B94" s="5" t="str">
        <f>IF(AND(C81&gt;=35200,C81&lt;60000),8725.5+(C81-35200)*0.37,"")</f>
        <v/>
      </c>
      <c r="C94" s="5"/>
      <c r="I94" s="5"/>
    </row>
    <row r="95" spans="1:9" x14ac:dyDescent="0.45">
      <c r="A95" s="25"/>
      <c r="B95" s="5" t="str">
        <f>IF(AND(C81&gt;=60000,C81&lt;300000),17901.5+(C81-60000)*0.45,"")</f>
        <v/>
      </c>
      <c r="C95" s="5"/>
    </row>
    <row r="96" spans="1:9" x14ac:dyDescent="0.45">
      <c r="B96" s="5" t="str">
        <f>IF(C81&gt;300000,125901.5+(C81-300000)*0.47,"")</f>
        <v/>
      </c>
      <c r="C96" s="5"/>
    </row>
    <row r="97" spans="2:3" x14ac:dyDescent="0.45">
      <c r="B97" s="5" t="s">
        <v>254</v>
      </c>
      <c r="C97" s="39">
        <f>IF(AND(C34&gt;0,L48-C34&gt;0),C90+C82,C107)</f>
        <v>10286.115599999999</v>
      </c>
    </row>
    <row r="98" spans="2:3" x14ac:dyDescent="0.45">
      <c r="B98" s="5" t="s">
        <v>255</v>
      </c>
      <c r="C98" s="40">
        <f>IF(AND(C34&gt;0,L48-C34&gt;0),L47+1980,L47)</f>
        <v>5550</v>
      </c>
    </row>
    <row r="99" spans="2:3" x14ac:dyDescent="0.45">
      <c r="B99" s="5" t="s">
        <v>256</v>
      </c>
      <c r="C99" s="40">
        <f>MAX(B100:B105)</f>
        <v>1054.5</v>
      </c>
    </row>
    <row r="100" spans="2:3" x14ac:dyDescent="0.45">
      <c r="B100" s="5">
        <f>IF(C98&lt;12450,0+(C98)*0.19,"")</f>
        <v>1054.5</v>
      </c>
      <c r="C100" s="5"/>
    </row>
    <row r="101" spans="2:3" x14ac:dyDescent="0.45">
      <c r="B101" s="5" t="str">
        <f>IF(AND(C98&gt;=12450,C98&lt;20200),2365.5+(C98-12450)*0.24,"")</f>
        <v/>
      </c>
      <c r="C101" s="5"/>
    </row>
    <row r="102" spans="2:3" x14ac:dyDescent="0.45">
      <c r="B102" s="5" t="str">
        <f>IF(AND(C98&gt;=20200,C98&lt;35200),4225.5+(C98-20200)*0.3,"")</f>
        <v/>
      </c>
      <c r="C102" s="5"/>
    </row>
    <row r="103" spans="2:3" x14ac:dyDescent="0.45">
      <c r="B103" s="5" t="str">
        <f>IF(AND(C98&gt;=35200,C98&lt;60000),8725.5+(C98-35200)*0.37,"")</f>
        <v/>
      </c>
      <c r="C103" s="5"/>
    </row>
    <row r="104" spans="2:3" x14ac:dyDescent="0.45">
      <c r="B104" s="5" t="str">
        <f>IF(AND(C98&gt;=60000,C98&lt;300000),17901.5+(C98-60000)*0.45,"")</f>
        <v/>
      </c>
      <c r="C104" s="5"/>
    </row>
    <row r="105" spans="2:3" x14ac:dyDescent="0.45">
      <c r="B105" s="5" t="str">
        <f>IF(C98&gt;300000,125901.5+(C98-300000)*0.47,"")</f>
        <v/>
      </c>
      <c r="C105" s="5"/>
    </row>
    <row r="106" spans="2:3" x14ac:dyDescent="0.45">
      <c r="B106" s="5" t="s">
        <v>257</v>
      </c>
      <c r="C106" s="41">
        <f>IF(C97&gt;C99,C97-C99,L59)</f>
        <v>9231.6155999999992</v>
      </c>
    </row>
    <row r="107" spans="2:3" x14ac:dyDescent="0.45">
      <c r="B107" s="5" t="s">
        <v>258</v>
      </c>
      <c r="C107" s="40">
        <f>MAX(B108:B114)</f>
        <v>10286.115599999999</v>
      </c>
    </row>
    <row r="108" spans="2:3" x14ac:dyDescent="0.45">
      <c r="B108" s="5" t="str">
        <f>IF(L48&lt;12450,0+(L48)*0.19,"")</f>
        <v/>
      </c>
      <c r="C108" s="5"/>
    </row>
    <row r="109" spans="2:3" x14ac:dyDescent="0.45">
      <c r="B109" s="5" t="str">
        <f>IF(AND(L48&gt;=12450,L48&lt;20200),2365.5+(L48-12450)*0.24,"")</f>
        <v/>
      </c>
      <c r="C109" s="5"/>
    </row>
    <row r="110" spans="2:3" x14ac:dyDescent="0.45">
      <c r="B110" s="5" t="str">
        <f>IF(AND(L48&gt;=20200,L48&lt;35200),4225.5+(L48-20200)*0.3,"")</f>
        <v/>
      </c>
      <c r="C110" s="5"/>
    </row>
    <row r="111" spans="2:3" x14ac:dyDescent="0.45">
      <c r="B111" s="5">
        <f>IF(AND(L48&gt;=35200,L48&lt;60000),8725.5+(L48-35200)*0.37,"")</f>
        <v>10286.115599999999</v>
      </c>
      <c r="C111" s="5"/>
    </row>
    <row r="112" spans="2:3" x14ac:dyDescent="0.45">
      <c r="B112" s="5" t="str">
        <f>IF(AND(L48&gt;=60000,L48&lt;300000),17901.5+(L48-60000)*0.45,"")</f>
        <v/>
      </c>
      <c r="C112" s="5"/>
    </row>
    <row r="113" spans="2:3" x14ac:dyDescent="0.45">
      <c r="B113" s="5" t="str">
        <f>IF(L48&gt;300000,125901.5+(L48-300000)*0.47,"")</f>
        <v/>
      </c>
      <c r="C113" s="5"/>
    </row>
    <row r="114" spans="2:3" x14ac:dyDescent="0.45">
      <c r="B114" s="5"/>
      <c r="C114" s="5"/>
    </row>
    <row r="115" spans="2:3" x14ac:dyDescent="0.45">
      <c r="B115" s="5"/>
      <c r="C115" s="5"/>
    </row>
    <row r="116" spans="2:3" x14ac:dyDescent="0.45">
      <c r="B116" s="5" t="s">
        <v>259</v>
      </c>
      <c r="C116" s="5"/>
    </row>
    <row r="117" spans="2:3" x14ac:dyDescent="0.45">
      <c r="B117" s="5" t="s">
        <v>261</v>
      </c>
      <c r="C117" s="5"/>
    </row>
    <row r="118" spans="2:3" x14ac:dyDescent="0.45">
      <c r="B118" s="5" t="s">
        <v>260</v>
      </c>
      <c r="C118" s="5"/>
    </row>
    <row r="119" spans="2:3" x14ac:dyDescent="0.45">
      <c r="B119" s="5">
        <f>IF(AND(L35&lt;=35200,C68=1,C35=1),(L35-(17270+C118+C119))*0.43,0)</f>
        <v>0</v>
      </c>
      <c r="C119" s="5"/>
    </row>
    <row r="120" spans="2:3" x14ac:dyDescent="0.45">
      <c r="B120" s="5">
        <f>IF(AND(L35&lt;=35200,C68=1,C35&gt;1),(L35-(18617+C118+C119))*0.43,0)</f>
        <v>0</v>
      </c>
      <c r="C120" s="5"/>
    </row>
    <row r="121" spans="2:3" x14ac:dyDescent="0.45">
      <c r="B121" s="5">
        <f>IF(AND(L35&lt;=35200,C68=2,C35=0),(L35-(16696+C118+C119))*0.43,0)</f>
        <v>0</v>
      </c>
      <c r="C121" s="5"/>
    </row>
    <row r="122" spans="2:3" x14ac:dyDescent="0.45">
      <c r="B122" s="5">
        <f>IF(AND(L35&lt;=35200,C68=2,C35=1),(L35-(17894+C118+C119))*0.43,0)</f>
        <v>0</v>
      </c>
      <c r="C122" s="5"/>
    </row>
    <row r="123" spans="2:3" x14ac:dyDescent="0.45">
      <c r="B123" s="5">
        <f>IF(AND(L35&lt;=35200,C68=2,C35&gt;1),(L35-(19241+C118+C119))*0.43,0)</f>
        <v>0</v>
      </c>
      <c r="C123" s="5"/>
    </row>
    <row r="124" spans="2:3" x14ac:dyDescent="0.45">
      <c r="B124" s="5">
        <f>IF(AND(L35&lt;=35200,C68=3,C35=0),(L35-(15000+C118+C119))*0.43,0)</f>
        <v>0</v>
      </c>
      <c r="C124" s="5"/>
    </row>
    <row r="125" spans="2:3" x14ac:dyDescent="0.45">
      <c r="B125" s="5">
        <f>IF(AND(L35&lt;=35200,C68=3,C35=1),(L35-(15599+C118+C119))*0.43,0)</f>
        <v>0</v>
      </c>
      <c r="C125" s="5"/>
    </row>
    <row r="126" spans="2:3" x14ac:dyDescent="0.45">
      <c r="B126" s="5">
        <f>IF(AND(L35&lt;=35200,C68=3,C35&gt;1),(L35-(16272+C118+C119))*0.43,0)</f>
        <v>0</v>
      </c>
      <c r="C126" s="5"/>
    </row>
    <row r="127" spans="2:3" x14ac:dyDescent="0.45">
      <c r="B127" s="5" t="s">
        <v>263</v>
      </c>
      <c r="C127" s="5" t="str">
        <f>IF(MAX(B119:B126)&gt;0,"Sí","No")</f>
        <v>No</v>
      </c>
    </row>
    <row r="128" spans="2:3" x14ac:dyDescent="0.45">
      <c r="B128" s="5" t="s">
        <v>264</v>
      </c>
      <c r="C128" s="5">
        <f>MAX(B119:B126)</f>
        <v>0</v>
      </c>
    </row>
    <row r="129" spans="2:3" x14ac:dyDescent="0.45">
      <c r="B129" s="5" t="s">
        <v>262</v>
      </c>
      <c r="C129" s="41">
        <f>IF(C127="No",C106,IF(C106&gt;C128,C128,C106))</f>
        <v>9231.6155999999992</v>
      </c>
    </row>
    <row r="130" spans="2:3" x14ac:dyDescent="0.45">
      <c r="B130" s="5"/>
      <c r="C130" s="5"/>
    </row>
    <row r="131" spans="2:3" x14ac:dyDescent="0.45">
      <c r="B131" s="5"/>
      <c r="C131" s="5"/>
    </row>
    <row r="132" spans="2:3" x14ac:dyDescent="0.45">
      <c r="B132" s="5"/>
      <c r="C132" s="5"/>
    </row>
    <row r="133" spans="2:3" x14ac:dyDescent="0.45">
      <c r="B133" s="5"/>
      <c r="C133" s="5"/>
    </row>
    <row r="134" spans="2:3" x14ac:dyDescent="0.45">
      <c r="B134" s="5"/>
      <c r="C134" s="5"/>
    </row>
    <row r="135" spans="2:3" x14ac:dyDescent="0.45">
      <c r="B135" s="5"/>
      <c r="C135" s="5"/>
    </row>
    <row r="136" spans="2:3" x14ac:dyDescent="0.45">
      <c r="B136" s="5"/>
      <c r="C136" s="5"/>
    </row>
    <row r="137" spans="2:3" x14ac:dyDescent="0.45">
      <c r="B137" s="5"/>
      <c r="C137" s="5"/>
    </row>
  </sheetData>
  <sheetProtection algorithmName="SHA-512" hashValue="rbNu9uNaGG0EbsZeghWaTV/uv7CxTqB+GMvEkUWvadnsfnIEdzr9WgVHROsYnbigj48eBeK+Qt/a5qYMbCRwbQ==" saltValue="qZbUPgL7rfZbuhduogmhBQ==" spinCount="100000" sheet="1" objects="1" scenarios="1"/>
  <mergeCells count="12">
    <mergeCell ref="M4:M5"/>
    <mergeCell ref="B28:C28"/>
    <mergeCell ref="B69:C69"/>
    <mergeCell ref="B3:C3"/>
    <mergeCell ref="J3:K3"/>
    <mergeCell ref="J4:K5"/>
    <mergeCell ref="L4:L5"/>
    <mergeCell ref="B31:C31"/>
    <mergeCell ref="B41:B43"/>
    <mergeCell ref="C41:C43"/>
    <mergeCell ref="B44:B46"/>
    <mergeCell ref="C44:C46"/>
  </mergeCells>
  <dataValidations count="18">
    <dataValidation type="list" allowBlank="1" showInputMessage="1" showErrorMessage="1" sqref="C11">
      <formula1>$D$5:$D$6</formula1>
    </dataValidation>
    <dataValidation type="whole" allowBlank="1" showInputMessage="1" showErrorMessage="1" sqref="C6:C10">
      <formula1>0</formula1>
      <formula2>14</formula2>
    </dataValidation>
    <dataValidation type="whole" allowBlank="1" showInputMessage="1" showErrorMessage="1" sqref="C12">
      <formula1>0</formula1>
      <formula2>5</formula2>
    </dataValidation>
    <dataValidation type="decimal" allowBlank="1" showInputMessage="1" showErrorMessage="1" sqref="C4:C5">
      <formula1>0</formula1>
      <formula2>100</formula2>
    </dataValidation>
    <dataValidation type="list" allowBlank="1" showInputMessage="1" showErrorMessage="1" sqref="C13">
      <formula1>$D$13:$D$20</formula1>
    </dataValidation>
    <dataValidation type="list" allowBlank="1" showInputMessage="1" showErrorMessage="1" sqref="C14">
      <formula1>$F$13:$F$18</formula1>
    </dataValidation>
    <dataValidation type="list" allowBlank="1" showInputMessage="1" showErrorMessage="1" sqref="C26 C47 C66 C61 C56 C51 C39 C37 C32 C15:C24">
      <formula1>$H$13:$H$14</formula1>
    </dataValidation>
    <dataValidation type="whole" allowBlank="1" showInputMessage="1" showErrorMessage="1" sqref="C25">
      <formula1>0</formula1>
      <formula2>30</formula2>
    </dataValidation>
    <dataValidation type="whole" allowBlank="1" showInputMessage="1" showErrorMessage="1" sqref="C27">
      <formula1>0</formula1>
      <formula2>10000</formula2>
    </dataValidation>
    <dataValidation type="whole" allowBlank="1" showInputMessage="1" showErrorMessage="1" sqref="C30">
      <formula1>1980</formula1>
      <formula2>2023</formula2>
    </dataValidation>
    <dataValidation type="list" allowBlank="1" showInputMessage="1" showErrorMessage="1" sqref="C29">
      <formula1>$A$35:$A$37</formula1>
    </dataValidation>
    <dataValidation type="whole" allowBlank="1" showInputMessage="1" showErrorMessage="1" sqref="C35">
      <formula1>0</formula1>
      <formula2>100</formula2>
    </dataValidation>
    <dataValidation type="whole" allowBlank="1" showInputMessage="1" showErrorMessage="1" sqref="C36 C40:C41">
      <formula1>0</formula1>
      <formula2>C35</formula2>
    </dataValidation>
    <dataValidation type="whole" allowBlank="1" showInputMessage="1" showErrorMessage="1" sqref="C49 C54 C59 C64">
      <formula1>18</formula1>
      <formula2>130</formula2>
    </dataValidation>
    <dataValidation type="whole" allowBlank="1" showInputMessage="1" showErrorMessage="1" sqref="C52 C57 C62 C67">
      <formula1>0</formula1>
      <formula2>20</formula2>
    </dataValidation>
    <dataValidation type="whole" allowBlank="1" showInputMessage="1" showErrorMessage="1" sqref="C44">
      <formula1>0</formula1>
      <formula2>C40</formula2>
    </dataValidation>
    <dataValidation type="list" allowBlank="1" showInputMessage="1" showErrorMessage="1" sqref="C38 C60 C50 C55 C65">
      <formula1>$A$38:$A$42</formula1>
    </dataValidation>
    <dataValidation type="list" allowBlank="1" showInputMessage="1" showErrorMessage="1" sqref="B69">
      <formula1>$A$68:$A$70</formula1>
    </dataValidation>
  </dataValidations>
  <hyperlinks>
    <hyperlink ref="B2" location="Inicio!A1" display="Ir a inicio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7"/>
  <sheetViews>
    <sheetView showRowColHeaders="0" zoomScaleNormal="100" workbookViewId="0">
      <selection activeCell="B2" sqref="B2"/>
    </sheetView>
  </sheetViews>
  <sheetFormatPr baseColWidth="10" defaultRowHeight="14.25" x14ac:dyDescent="0.45"/>
  <cols>
    <col min="1" max="1" width="0.53125" style="4" customWidth="1"/>
    <col min="2" max="2" width="55.86328125" style="4" customWidth="1"/>
    <col min="3" max="3" width="26.19921875" style="4" customWidth="1"/>
    <col min="4" max="4" width="2.265625" style="24" customWidth="1"/>
    <col min="5" max="5" width="1" style="24" customWidth="1"/>
    <col min="6" max="6" width="0.796875" style="24" hidden="1" customWidth="1"/>
    <col min="7" max="7" width="6.640625E-2" style="24" hidden="1" customWidth="1"/>
    <col min="8" max="8" width="6.19921875" style="24" hidden="1" customWidth="1"/>
    <col min="9" max="9" width="1.1328125" style="4" customWidth="1"/>
    <col min="10" max="10" width="10.6640625" style="4"/>
    <col min="11" max="11" width="41.33203125" style="4" customWidth="1"/>
    <col min="12" max="12" width="17.73046875" style="4" customWidth="1"/>
    <col min="13" max="13" width="17.9296875" style="4" customWidth="1"/>
    <col min="14" max="14" width="5.3984375" style="4" customWidth="1"/>
    <col min="15" max="15" width="4.73046875" style="4" customWidth="1"/>
    <col min="16" max="16384" width="10.6640625" style="4"/>
  </cols>
  <sheetData>
    <row r="1" spans="1:29" ht="118.5" customHeight="1" thickBot="1" x14ac:dyDescent="0.5">
      <c r="O1"/>
    </row>
    <row r="2" spans="1:29" ht="19.149999999999999" customHeight="1" thickBot="1" x14ac:dyDescent="0.5">
      <c r="B2" s="96" t="s">
        <v>293</v>
      </c>
      <c r="L2" s="33" t="s">
        <v>241</v>
      </c>
      <c r="M2" s="34" t="s">
        <v>172</v>
      </c>
      <c r="Q2" s="24"/>
      <c r="R2" s="24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8.25" customHeight="1" thickBot="1" x14ac:dyDescent="0.7">
      <c r="B3" s="158" t="s">
        <v>240</v>
      </c>
      <c r="C3" s="159"/>
      <c r="J3" s="160" t="s">
        <v>227</v>
      </c>
      <c r="K3" s="161"/>
      <c r="L3" s="84">
        <f>L4-SUM(L27:L31)</f>
        <v>2184.4005257547096</v>
      </c>
      <c r="M3" s="84">
        <f>M4-SUM(M27:M31)</f>
        <v>1972.6832274717403</v>
      </c>
      <c r="Q3" s="24"/>
      <c r="R3" s="24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8.399999999999999" customHeight="1" thickBot="1" x14ac:dyDescent="0.5">
      <c r="A4" s="24"/>
      <c r="B4" s="26" t="s">
        <v>274</v>
      </c>
      <c r="C4" s="49">
        <v>100</v>
      </c>
      <c r="D4" s="50" t="s">
        <v>140</v>
      </c>
      <c r="J4" s="162" t="s">
        <v>121</v>
      </c>
      <c r="K4" s="163"/>
      <c r="L4" s="152">
        <f>SUM(L6:L25)</f>
        <v>2835.58</v>
      </c>
      <c r="M4" s="152">
        <f>SUM(M6:M25)</f>
        <v>2337.46</v>
      </c>
      <c r="Q4" s="24"/>
      <c r="R4" s="24"/>
      <c r="S4" s="5"/>
      <c r="T4" s="5" t="s">
        <v>122</v>
      </c>
      <c r="U4" s="5"/>
      <c r="V4" s="5">
        <f>$C$6*Datos!G15</f>
        <v>0</v>
      </c>
      <c r="W4" s="5">
        <f>$C$6*Datos!G16</f>
        <v>0</v>
      </c>
      <c r="X4" s="5"/>
      <c r="Y4" s="5"/>
      <c r="Z4" s="5"/>
      <c r="AA4" s="5"/>
      <c r="AB4" s="5"/>
      <c r="AC4" s="5"/>
    </row>
    <row r="5" spans="1:29" ht="18.399999999999999" customHeight="1" thickBot="1" x14ac:dyDescent="0.5">
      <c r="A5" s="24"/>
      <c r="B5" s="26" t="s">
        <v>163</v>
      </c>
      <c r="C5" s="48"/>
      <c r="D5" s="5" t="s">
        <v>285</v>
      </c>
      <c r="E5" s="5"/>
      <c r="F5" s="5"/>
      <c r="G5" s="5"/>
      <c r="H5" s="5"/>
      <c r="I5" s="5"/>
      <c r="J5" s="164"/>
      <c r="K5" s="165"/>
      <c r="L5" s="153"/>
      <c r="M5" s="153"/>
      <c r="Q5" s="24"/>
      <c r="R5" s="24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x14ac:dyDescent="0.45">
      <c r="A6" s="24"/>
      <c r="B6" s="6" t="str">
        <f>T4</f>
        <v>Trienios A1</v>
      </c>
      <c r="C6" s="17">
        <v>0</v>
      </c>
      <c r="D6" s="5" t="s">
        <v>288</v>
      </c>
      <c r="E6" s="5"/>
      <c r="F6" s="5"/>
      <c r="G6" s="5"/>
      <c r="H6" s="5"/>
      <c r="I6" s="5"/>
      <c r="J6" s="63" t="s">
        <v>118</v>
      </c>
      <c r="K6" s="67"/>
      <c r="L6" s="59">
        <f>ROUND((C4/100)*Datos!G4,2)</f>
        <v>1300.8800000000001</v>
      </c>
      <c r="M6" s="59">
        <f>ROUND((C4/100)*Datos!G5,2)</f>
        <v>802.76</v>
      </c>
      <c r="Q6" s="24"/>
      <c r="R6" s="24"/>
      <c r="S6" s="5"/>
      <c r="T6" s="5" t="s">
        <v>123</v>
      </c>
      <c r="U6" s="5"/>
      <c r="V6" s="5">
        <f>$C$7*Datos!G17</f>
        <v>0</v>
      </c>
      <c r="W6" s="5">
        <f>$C$7*Datos!G18</f>
        <v>0</v>
      </c>
      <c r="X6" s="5"/>
      <c r="Y6" s="5"/>
      <c r="Z6" s="5"/>
      <c r="AA6" s="5"/>
      <c r="AB6" s="5"/>
      <c r="AC6" s="5"/>
    </row>
    <row r="7" spans="1:29" x14ac:dyDescent="0.45">
      <c r="A7" s="24"/>
      <c r="B7" s="8" t="str">
        <f t="shared" ref="B7:B10" si="0">T6</f>
        <v>Trienios A2</v>
      </c>
      <c r="C7" s="18">
        <v>0</v>
      </c>
      <c r="D7" s="5"/>
      <c r="E7" s="5"/>
      <c r="F7" s="5"/>
      <c r="G7" s="5"/>
      <c r="H7" s="5"/>
      <c r="I7" s="5"/>
      <c r="J7" s="42" t="s">
        <v>119</v>
      </c>
      <c r="K7"/>
      <c r="L7" s="60">
        <f>ROUND(($C$4/100)*Datos!G9,2)</f>
        <v>683.75</v>
      </c>
      <c r="M7" s="60">
        <f>L7</f>
        <v>683.75</v>
      </c>
      <c r="Q7" s="24"/>
      <c r="R7" s="24"/>
      <c r="S7" s="5"/>
      <c r="T7" s="5" t="s">
        <v>124</v>
      </c>
      <c r="U7" s="5"/>
      <c r="V7" s="5">
        <f>$C$8*Datos!G19</f>
        <v>0</v>
      </c>
      <c r="W7" s="5">
        <f>$C$8*Datos!G20</f>
        <v>0</v>
      </c>
      <c r="X7" s="5"/>
      <c r="Y7" s="5"/>
      <c r="Z7" s="5"/>
      <c r="AA7" s="5"/>
      <c r="AB7" s="5"/>
      <c r="AC7" s="5"/>
    </row>
    <row r="8" spans="1:29" x14ac:dyDescent="0.45">
      <c r="A8" s="24"/>
      <c r="B8" s="8" t="str">
        <f t="shared" si="0"/>
        <v>Trienios C1</v>
      </c>
      <c r="C8" s="18">
        <v>0</v>
      </c>
      <c r="D8" s="5"/>
      <c r="E8" s="5"/>
      <c r="F8" s="5"/>
      <c r="G8" s="5"/>
      <c r="H8" s="5"/>
      <c r="I8" s="5"/>
      <c r="J8" s="42" t="s">
        <v>120</v>
      </c>
      <c r="K8" s="68"/>
      <c r="L8" s="60">
        <f>ROUND(($C$4/100)*Datos!G13,2)</f>
        <v>850.95</v>
      </c>
      <c r="M8" s="60">
        <f>L8</f>
        <v>850.95</v>
      </c>
      <c r="Q8" s="24"/>
      <c r="R8" s="24"/>
      <c r="S8" s="5"/>
      <c r="T8" s="5" t="s">
        <v>125</v>
      </c>
      <c r="U8" s="5"/>
      <c r="V8" s="5">
        <f>$C$9*Datos!G21</f>
        <v>0</v>
      </c>
      <c r="W8" s="5">
        <f>$C$9*Datos!G22</f>
        <v>0</v>
      </c>
      <c r="X8" s="5"/>
      <c r="Y8" s="5"/>
      <c r="Z8" s="5"/>
      <c r="AA8" s="5"/>
      <c r="AB8" s="5"/>
      <c r="AC8" s="5"/>
    </row>
    <row r="9" spans="1:29" x14ac:dyDescent="0.45">
      <c r="A9" s="24"/>
      <c r="B9" s="8" t="str">
        <f t="shared" si="0"/>
        <v>Trienios C2</v>
      </c>
      <c r="C9" s="18">
        <v>0</v>
      </c>
      <c r="D9" s="5"/>
      <c r="E9" s="5"/>
      <c r="F9" s="5"/>
      <c r="G9" s="5"/>
      <c r="H9" s="5"/>
      <c r="I9" s="5"/>
      <c r="J9" s="42" t="s">
        <v>126</v>
      </c>
      <c r="K9" s="68"/>
      <c r="L9" s="60">
        <f>IF(SUM(C6:C10)&gt;0,ROUND(V12*C4/100,2),0)</f>
        <v>0</v>
      </c>
      <c r="M9" s="60">
        <f>W12</f>
        <v>0</v>
      </c>
      <c r="Q9" s="24"/>
      <c r="R9" s="24"/>
      <c r="S9" s="5"/>
      <c r="T9" s="5" t="s">
        <v>127</v>
      </c>
      <c r="U9" s="5"/>
      <c r="V9" s="5">
        <f>$C$10*Datos!G23</f>
        <v>0</v>
      </c>
      <c r="W9" s="5">
        <f>$C$10*Datos!G24</f>
        <v>0</v>
      </c>
      <c r="X9" s="5"/>
      <c r="Y9" s="5"/>
      <c r="Z9" s="5"/>
      <c r="AA9" s="5"/>
      <c r="AB9" s="5"/>
      <c r="AC9" s="5"/>
    </row>
    <row r="10" spans="1:29" ht="14.75" customHeight="1" thickBot="1" x14ac:dyDescent="0.5">
      <c r="A10" s="24"/>
      <c r="B10" s="12" t="str">
        <f t="shared" si="0"/>
        <v>Trienios agrupaciones especiales</v>
      </c>
      <c r="C10" s="19">
        <v>0</v>
      </c>
      <c r="D10" s="5"/>
      <c r="E10" s="5"/>
      <c r="F10" s="5"/>
      <c r="G10" s="5"/>
      <c r="H10" s="5"/>
      <c r="I10" s="5"/>
      <c r="J10" s="42" t="s">
        <v>153</v>
      </c>
      <c r="K10" s="68"/>
      <c r="L10" s="60">
        <f>IF(C12&gt;0,ROUND(N13*C4/100,2),0)</f>
        <v>0</v>
      </c>
      <c r="M10" s="60">
        <f>L10</f>
        <v>0</v>
      </c>
      <c r="Q10" s="24"/>
      <c r="R10" s="24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4.75" customHeight="1" thickBot="1" x14ac:dyDescent="0.5">
      <c r="A11" s="5"/>
      <c r="B11" s="133" t="s">
        <v>284</v>
      </c>
      <c r="C11" s="134" t="s">
        <v>285</v>
      </c>
      <c r="D11" s="5"/>
      <c r="E11" s="5"/>
      <c r="F11" s="5"/>
      <c r="G11" s="5"/>
      <c r="H11" s="5"/>
      <c r="I11" s="5"/>
      <c r="J11" s="42" t="s">
        <v>24</v>
      </c>
      <c r="K11" s="68"/>
      <c r="L11" s="60">
        <f>IF(C13=D14,ROUND(C4*MAX(E27:E32,G27:G32)/100,2),0)</f>
        <v>0</v>
      </c>
      <c r="M11" s="60">
        <f t="shared" ref="M11:M25" si="1">L11</f>
        <v>0</v>
      </c>
      <c r="Q11" s="24"/>
      <c r="R11" s="24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4.75" customHeight="1" thickBot="1" x14ac:dyDescent="0.5">
      <c r="A12" s="5"/>
      <c r="B12" s="27" t="s">
        <v>129</v>
      </c>
      <c r="C12" s="20">
        <v>0</v>
      </c>
      <c r="D12" s="5" t="str">
        <f>IF(OR(C13=D14,C13=D18,C13=D19,C13=D20),D14,"")</f>
        <v/>
      </c>
      <c r="E12" s="5"/>
      <c r="F12" s="5"/>
      <c r="G12" s="5"/>
      <c r="H12" s="5"/>
      <c r="I12" s="5"/>
      <c r="J12" s="42" t="s">
        <v>39</v>
      </c>
      <c r="K12" s="68"/>
      <c r="L12" s="60">
        <f>IF(C13=D16,ROUND(C4*MAX(F27:F31,H27:H31)/100,2),0)</f>
        <v>0</v>
      </c>
      <c r="M12" s="60">
        <f t="shared" si="1"/>
        <v>0</v>
      </c>
      <c r="Q12" s="24"/>
      <c r="R12" s="24"/>
      <c r="S12" s="5"/>
      <c r="T12" s="5" t="s">
        <v>128</v>
      </c>
      <c r="U12" s="5"/>
      <c r="V12" s="5">
        <f>SUM(V4:V9)</f>
        <v>0</v>
      </c>
      <c r="W12" s="5">
        <f>SUM(W4:W9)</f>
        <v>0</v>
      </c>
      <c r="X12" s="5"/>
      <c r="Y12" s="5"/>
      <c r="Z12" s="5"/>
      <c r="AA12" s="5"/>
      <c r="AB12" s="5"/>
      <c r="AC12" s="5"/>
    </row>
    <row r="13" spans="1:29" ht="14.75" customHeight="1" thickBot="1" x14ac:dyDescent="0.5">
      <c r="A13" s="5"/>
      <c r="B13" s="27" t="s">
        <v>280</v>
      </c>
      <c r="C13" s="20" t="s">
        <v>141</v>
      </c>
      <c r="D13" s="5" t="s">
        <v>141</v>
      </c>
      <c r="E13" s="5"/>
      <c r="F13" s="5" t="s">
        <v>27</v>
      </c>
      <c r="G13" s="5" t="s">
        <v>136</v>
      </c>
      <c r="H13" s="5" t="s">
        <v>143</v>
      </c>
      <c r="I13" s="5"/>
      <c r="J13" s="42" t="s">
        <v>40</v>
      </c>
      <c r="K13" s="68"/>
      <c r="L13" s="99">
        <f>IF(C13=D15,ROUND(C4*MAX(F27:F31,H27:H31)/100,2),0)</f>
        <v>0</v>
      </c>
      <c r="M13" s="60">
        <f t="shared" si="1"/>
        <v>0</v>
      </c>
      <c r="N13" s="5">
        <f>IF(C12=1,Datos!J26,IF(C12=2,Datos!J27,IF(C12=3,Datos!J28,IF(C12=4,Datos!J29,IF(C12=5,Datos!J30,0)))))</f>
        <v>0</v>
      </c>
      <c r="Q13" s="24"/>
      <c r="R13" s="24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4.75" customHeight="1" thickBot="1" x14ac:dyDescent="0.5">
      <c r="A14" s="5"/>
      <c r="B14" s="27" t="s">
        <v>130</v>
      </c>
      <c r="C14" s="20"/>
      <c r="D14" s="5" t="s">
        <v>132</v>
      </c>
      <c r="E14" s="5"/>
      <c r="F14" s="5" t="s">
        <v>28</v>
      </c>
      <c r="G14" s="5" t="s">
        <v>137</v>
      </c>
      <c r="H14" s="5" t="s">
        <v>144</v>
      </c>
      <c r="I14" s="5"/>
      <c r="J14" s="42" t="s">
        <v>154</v>
      </c>
      <c r="K14" s="68"/>
      <c r="L14" s="60">
        <f>IF(C13=D17,ROUND(Datos!G77*'Profesores EA'!C4/100,2),0)</f>
        <v>0</v>
      </c>
      <c r="M14" s="60">
        <f t="shared" si="1"/>
        <v>0</v>
      </c>
      <c r="Q14" s="24"/>
      <c r="R14" s="24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4.75" customHeight="1" thickBot="1" x14ac:dyDescent="0.5">
      <c r="A15" s="5"/>
      <c r="B15" s="27" t="s">
        <v>53</v>
      </c>
      <c r="C15" s="20" t="s">
        <v>144</v>
      </c>
      <c r="D15" s="5" t="s">
        <v>133</v>
      </c>
      <c r="E15" s="5"/>
      <c r="F15" s="5" t="s">
        <v>29</v>
      </c>
      <c r="G15" s="5" t="s">
        <v>138</v>
      </c>
      <c r="H15" s="5"/>
      <c r="I15" s="5"/>
      <c r="J15" s="42" t="s">
        <v>53</v>
      </c>
      <c r="K15" s="68"/>
      <c r="L15" s="60">
        <f>IF(C15="Sí",ROUND(Datos!G91*'Profesores EA'!C4/100,2),0)</f>
        <v>0</v>
      </c>
      <c r="M15" s="60">
        <f t="shared" si="1"/>
        <v>0</v>
      </c>
      <c r="Q15" s="24"/>
      <c r="R15" s="24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4.75" customHeight="1" x14ac:dyDescent="0.45">
      <c r="A16" s="5"/>
      <c r="B16" s="133" t="s">
        <v>50</v>
      </c>
      <c r="C16" s="135" t="s">
        <v>144</v>
      </c>
      <c r="D16" s="5" t="s">
        <v>134</v>
      </c>
      <c r="E16" s="5"/>
      <c r="F16" s="5" t="s">
        <v>30</v>
      </c>
      <c r="G16" s="5" t="s">
        <v>139</v>
      </c>
      <c r="H16" s="5" t="s">
        <v>144</v>
      </c>
      <c r="I16" s="5"/>
      <c r="J16" s="42" t="s">
        <v>279</v>
      </c>
      <c r="K16" s="69"/>
      <c r="L16" s="60">
        <f>IF(D21&gt;0,ROUND(C4*MAX(E27:E33,G27:G33)*D21/100,2),0)</f>
        <v>0</v>
      </c>
      <c r="M16" s="60">
        <f t="shared" si="1"/>
        <v>0</v>
      </c>
      <c r="Q16" s="24"/>
      <c r="R16" s="24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4.75" hidden="1" customHeight="1" thickBot="1" x14ac:dyDescent="0.5">
      <c r="A17" s="5"/>
      <c r="B17" s="103" t="s">
        <v>51</v>
      </c>
      <c r="C17" s="104" t="s">
        <v>144</v>
      </c>
      <c r="D17" s="5" t="s">
        <v>142</v>
      </c>
      <c r="E17" s="5"/>
      <c r="F17" s="5" t="s">
        <v>31</v>
      </c>
      <c r="G17" s="5"/>
      <c r="H17" s="5" t="s">
        <v>145</v>
      </c>
      <c r="I17" s="5"/>
      <c r="J17" s="42"/>
      <c r="K17" s="68"/>
      <c r="L17" s="60"/>
      <c r="M17" s="60">
        <f t="shared" si="1"/>
        <v>0</v>
      </c>
      <c r="Q17" s="24"/>
      <c r="R17" s="24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14.75" hidden="1" customHeight="1" thickBot="1" x14ac:dyDescent="0.5">
      <c r="A18" s="5"/>
      <c r="B18" s="103" t="s">
        <v>104</v>
      </c>
      <c r="C18" s="104" t="s">
        <v>144</v>
      </c>
      <c r="D18" s="5" t="s">
        <v>281</v>
      </c>
      <c r="E18" s="5"/>
      <c r="F18" s="5" t="s">
        <v>32</v>
      </c>
      <c r="G18" s="5"/>
      <c r="H18" s="5" t="s">
        <v>146</v>
      </c>
      <c r="I18" s="5"/>
      <c r="J18" s="42"/>
      <c r="K18" s="68"/>
      <c r="L18" s="60"/>
      <c r="M18" s="60">
        <f t="shared" si="1"/>
        <v>0</v>
      </c>
      <c r="Q18" s="24"/>
      <c r="R18" s="24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14.75" hidden="1" customHeight="1" thickBot="1" x14ac:dyDescent="0.5">
      <c r="A19" s="5"/>
      <c r="B19" s="103" t="s">
        <v>102</v>
      </c>
      <c r="C19" s="104" t="s">
        <v>144</v>
      </c>
      <c r="D19" s="5" t="s">
        <v>282</v>
      </c>
      <c r="E19" s="5"/>
      <c r="F19" s="5"/>
      <c r="G19" s="5"/>
      <c r="H19" s="5" t="s">
        <v>147</v>
      </c>
      <c r="I19" s="5"/>
      <c r="J19" s="42"/>
      <c r="K19" s="68"/>
      <c r="L19" s="60"/>
      <c r="M19" s="60">
        <f t="shared" si="1"/>
        <v>0</v>
      </c>
      <c r="Q19" s="24"/>
      <c r="R19" s="24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14.75" hidden="1" customHeight="1" thickBot="1" x14ac:dyDescent="0.5">
      <c r="A20" s="5"/>
      <c r="B20" s="103" t="s">
        <v>103</v>
      </c>
      <c r="C20" s="104" t="s">
        <v>144</v>
      </c>
      <c r="D20" s="5" t="s">
        <v>283</v>
      </c>
      <c r="E20" s="5"/>
      <c r="F20" s="5"/>
      <c r="G20" s="5"/>
      <c r="H20" s="5"/>
      <c r="I20" s="5"/>
      <c r="K20" s="68"/>
      <c r="L20" s="60">
        <f>IF(C15="Sí",ROUND(Datos!G91*'Profesores EA'!C4/100,2),0)</f>
        <v>0</v>
      </c>
      <c r="M20" s="60">
        <f t="shared" si="1"/>
        <v>0</v>
      </c>
      <c r="Q20" s="24"/>
      <c r="R20" s="24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14.75" hidden="1" customHeight="1" thickBot="1" x14ac:dyDescent="0.5">
      <c r="A21" s="5"/>
      <c r="B21" s="103" t="s">
        <v>54</v>
      </c>
      <c r="C21" s="104" t="s">
        <v>144</v>
      </c>
      <c r="D21" s="5">
        <f>IF(C13=D18,0.25,IF(C13=D19,0.4,IF(C13=D20,0.6,0)))</f>
        <v>0</v>
      </c>
      <c r="E21" s="5"/>
      <c r="F21" s="5"/>
      <c r="G21" s="5"/>
      <c r="H21" s="5"/>
      <c r="I21" s="5"/>
      <c r="J21" s="42" t="s">
        <v>276</v>
      </c>
      <c r="K21" s="68"/>
      <c r="L21" s="60">
        <f>IF(C22="Sí",ROUND(Datos!G97*'Profesores EA'!C4/100,2),0)</f>
        <v>0</v>
      </c>
      <c r="M21" s="60">
        <f t="shared" si="1"/>
        <v>0</v>
      </c>
      <c r="Q21" s="24"/>
      <c r="R21" s="24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14.75" hidden="1" customHeight="1" x14ac:dyDescent="0.45">
      <c r="A22" s="5"/>
      <c r="B22" s="103" t="s">
        <v>275</v>
      </c>
      <c r="C22" s="104" t="s">
        <v>144</v>
      </c>
      <c r="D22" s="5"/>
      <c r="E22" s="5"/>
      <c r="F22" s="5"/>
      <c r="G22" s="5"/>
      <c r="H22" s="5"/>
      <c r="I22" s="5"/>
      <c r="J22" s="42" t="s">
        <v>158</v>
      </c>
      <c r="K22" s="68"/>
      <c r="L22" s="60">
        <f>IF(C23="Sí",ROUND(C4*SUM(D23:D25)/100,2),0)</f>
        <v>0</v>
      </c>
      <c r="M22" s="60">
        <f>L22</f>
        <v>0</v>
      </c>
      <c r="Q22" s="24"/>
      <c r="R22" s="24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14.75" hidden="1" customHeight="1" x14ac:dyDescent="0.45">
      <c r="A23" s="5"/>
      <c r="B23" s="133" t="s">
        <v>150</v>
      </c>
      <c r="C23" s="135" t="s">
        <v>144</v>
      </c>
      <c r="D23" s="5">
        <f>IF(C23="No",0,Datos!G102)</f>
        <v>0</v>
      </c>
      <c r="E23" s="5"/>
      <c r="F23" s="5"/>
      <c r="G23" s="5"/>
      <c r="H23" s="5"/>
      <c r="I23" s="5"/>
      <c r="J23" s="42" t="s">
        <v>159</v>
      </c>
      <c r="K23" s="68"/>
      <c r="L23" s="60">
        <f>IF(C26="Sí",ROUND(C4*MIN(D27:D36)/100,2),0)</f>
        <v>0</v>
      </c>
      <c r="M23" s="60">
        <f>L23</f>
        <v>0</v>
      </c>
      <c r="Q23" s="24"/>
      <c r="R23" s="24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4.75" hidden="1" customHeight="1" x14ac:dyDescent="0.45">
      <c r="A24" s="5"/>
      <c r="B24" s="136" t="s">
        <v>148</v>
      </c>
      <c r="C24" s="135" t="s">
        <v>144</v>
      </c>
      <c r="D24" s="5">
        <f>IF(AND(C23="Sí",C24="Sí"),Datos!G103,0)</f>
        <v>0</v>
      </c>
      <c r="E24" s="5"/>
      <c r="F24" s="5"/>
      <c r="G24" s="5"/>
      <c r="H24" s="5"/>
      <c r="I24" s="5"/>
      <c r="L24" s="60">
        <f>IF(D21&gt;0,ROUND(C4*MAX(E27:E33,G27:G33)*D21/100,2),0)</f>
        <v>0</v>
      </c>
      <c r="M24" s="60">
        <f>L24</f>
        <v>0</v>
      </c>
      <c r="Q24" s="24"/>
      <c r="R24" s="24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14.75" hidden="1" customHeight="1" thickBot="1" x14ac:dyDescent="0.5">
      <c r="A25" s="5"/>
      <c r="B25" s="136" t="s">
        <v>149</v>
      </c>
      <c r="C25" s="135">
        <v>0</v>
      </c>
      <c r="D25" s="5">
        <f>IF(C23="Sí",C25*Datos!G104,0)</f>
        <v>0</v>
      </c>
      <c r="E25" s="5"/>
      <c r="F25" s="5"/>
      <c r="G25" s="5"/>
      <c r="H25" s="5"/>
      <c r="I25" s="5"/>
      <c r="J25" s="61" t="s">
        <v>289</v>
      </c>
      <c r="K25" s="70"/>
      <c r="L25" s="62">
        <f>IF(C21="Sí",ROUND(Datos!G92*C4/100,2),0)</f>
        <v>0</v>
      </c>
      <c r="M25" s="62">
        <f t="shared" si="1"/>
        <v>0</v>
      </c>
      <c r="Q25" s="24"/>
      <c r="R25" s="24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14.75" customHeight="1" x14ac:dyDescent="0.45">
      <c r="A26" s="5"/>
      <c r="B26" s="133" t="s">
        <v>151</v>
      </c>
      <c r="C26" s="135" t="s">
        <v>144</v>
      </c>
      <c r="D26" s="5"/>
      <c r="E26" s="5" t="s">
        <v>131</v>
      </c>
      <c r="F26" s="5" t="s">
        <v>160</v>
      </c>
      <c r="G26" s="5" t="s">
        <v>286</v>
      </c>
      <c r="H26" s="5" t="s">
        <v>287</v>
      </c>
      <c r="I26" s="5"/>
      <c r="J26" s="64" t="s">
        <v>168</v>
      </c>
      <c r="K26" s="65"/>
      <c r="L26" s="66"/>
      <c r="M26" s="65"/>
      <c r="Q26" s="24"/>
      <c r="R26" s="24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14.75" customHeight="1" x14ac:dyDescent="0.45">
      <c r="A27" s="5"/>
      <c r="B27" s="136" t="s">
        <v>152</v>
      </c>
      <c r="C27" s="135">
        <v>0</v>
      </c>
      <c r="D27" s="5">
        <f>IF($C$27&lt;=50,Datos!G107,"")</f>
        <v>16.559999999999999</v>
      </c>
      <c r="E27" s="5" t="str">
        <f>IF(AND(C11=D5,$D12=$D$14,$C$14=F13),Datos!G64,"")</f>
        <v/>
      </c>
      <c r="F27" s="5" t="str">
        <f>IF(AND(OR($C$13=$D$15,$C$13=$D$16),$C$14=F13,C11=D5),Datos!G68,"")</f>
        <v/>
      </c>
      <c r="G27" s="5" t="str">
        <f>IF(AND(C11=D6,$D12=$D$14,$C$14=F13),Datos!G32,"")</f>
        <v/>
      </c>
      <c r="H27" s="5" t="str">
        <f>IF(AND(OR($C$13=$D$15,$C$13=$D$16),$C$14=F13,C11=D6),Datos!G38,"")</f>
        <v/>
      </c>
      <c r="I27" s="5"/>
      <c r="J27" s="9" t="s">
        <v>237</v>
      </c>
      <c r="K27" s="46"/>
      <c r="L27" s="22">
        <f>IF(OR(C29="Funcionario/a de carrera",C29="Funcionario/a en prácticas"),51.68,0)</f>
        <v>0</v>
      </c>
      <c r="M27" s="56">
        <f>L27</f>
        <v>0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4.65" thickBot="1" x14ac:dyDescent="0.5">
      <c r="A28" s="5"/>
      <c r="B28" s="154" t="s">
        <v>239</v>
      </c>
      <c r="C28" s="155"/>
      <c r="D28" s="5">
        <f>IF($C$27&lt;=100,Datos!G108,"")</f>
        <v>33.119999999999997</v>
      </c>
      <c r="E28" s="5" t="str">
        <f>IF(AND(C11=D5,$D$12=$D$14,$C$14=F14),Datos!G65,"")</f>
        <v/>
      </c>
      <c r="F28" s="5" t="str">
        <f>IF(AND(OR($C$13=$D$15,$C$13=$D$16),$C$14=F14,C11=D5),Datos!G69,"")</f>
        <v/>
      </c>
      <c r="G28" s="5" t="str">
        <f>IF(AND(C11=D6,$D12=$D$14,$C$14=F14),Datos!G33,"")</f>
        <v/>
      </c>
      <c r="H28" s="5" t="str">
        <f>IF(AND(OR($C$13=$D$15,$C$13=$D$16),$C$14=F14,C11=D6),Datos!G39,"")</f>
        <v/>
      </c>
      <c r="I28" s="5"/>
      <c r="J28" s="9" t="s">
        <v>238</v>
      </c>
      <c r="K28" s="46"/>
      <c r="L28" s="22">
        <f>IF(AND(L27&gt;0,C30&lt;2011,C30&gt;0),118.04,0)</f>
        <v>0</v>
      </c>
      <c r="M28" s="56">
        <f>L28</f>
        <v>0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4.65" thickBot="1" x14ac:dyDescent="0.5">
      <c r="A29" s="5"/>
      <c r="B29" s="27" t="s">
        <v>164</v>
      </c>
      <c r="C29" s="20" t="s">
        <v>167</v>
      </c>
      <c r="D29" s="5">
        <f>IF($C$27&lt;=150,Datos!G109,"")</f>
        <v>49.68</v>
      </c>
      <c r="E29" s="5" t="str">
        <f>IF(AND(C11=D5,$D$12=$D$14,$C$14=F15),Datos!G66,"")</f>
        <v/>
      </c>
      <c r="F29" s="5" t="str">
        <f>IF(AND(OR($C$13=$D$15,$C$13=$D$16),$C$14=F15,C11=D5),Datos!G70,"")</f>
        <v/>
      </c>
      <c r="G29" s="5" t="str">
        <f>IF(AND(C11=D6,$D12=$D$14,$C$14=F15),Datos!G34,"")</f>
        <v/>
      </c>
      <c r="H29" s="5" t="str">
        <f>IF(AND(OR($C$13=$D$15,$C$13=$D$16),$C$14=F15,C11=D6),Datos!G40,"")</f>
        <v/>
      </c>
      <c r="I29" s="5"/>
      <c r="J29" s="9" t="s">
        <v>169</v>
      </c>
      <c r="K29" s="46"/>
      <c r="L29" s="22">
        <f>IF(OR(C29=A36,AND(C29=A35,C30&gt;=2011)),(L4+(M4/6))*L68,0)</f>
        <v>0</v>
      </c>
      <c r="M29" s="11">
        <v>0</v>
      </c>
      <c r="P29" s="5"/>
      <c r="Q29" s="5"/>
      <c r="R29" s="5"/>
      <c r="S29" s="5"/>
      <c r="T29" s="5"/>
      <c r="U29" s="5"/>
      <c r="V29" s="5"/>
      <c r="W29" s="5"/>
    </row>
    <row r="30" spans="1:29" ht="14.65" thickBot="1" x14ac:dyDescent="0.5">
      <c r="A30" s="5"/>
      <c r="B30" s="27" t="str">
        <f>IF(C29=A35,"¿En qué año aprobaste la oposición?","")</f>
        <v/>
      </c>
      <c r="C30" s="20"/>
      <c r="D30" s="5">
        <f>IF($C$27&lt;=200,Datos!G110,"")</f>
        <v>66.239999999999995</v>
      </c>
      <c r="E30" s="5" t="str">
        <f>IF(AND(C11=D5,$D$12=$D$14,$C$14=F16),Datos!G67,"")</f>
        <v/>
      </c>
      <c r="F30" s="5" t="str">
        <f>IF(AND(OR($C$13=$D$15,$C$13=$D$16),$C$14=F16,C11=D5),Datos!G71,"")</f>
        <v/>
      </c>
      <c r="G30" s="5" t="str">
        <f>IF(AND(C11=D6,$D12=$D$14,$C$14=F13),Datos!G35,"")</f>
        <v/>
      </c>
      <c r="H30" s="5" t="str">
        <f>IF(AND(OR($C$13=$D$15,$C$13=$D$16),$C$14=F16,C11=D6),Datos!G41,"")</f>
        <v/>
      </c>
      <c r="I30" s="5"/>
      <c r="J30" s="9" t="s">
        <v>170</v>
      </c>
      <c r="K30" s="46"/>
      <c r="L30" s="53">
        <f>IF(C29=A37,L4*0.0647+M4*0.0647/6,0)</f>
        <v>208.66763633333332</v>
      </c>
      <c r="M30" s="11">
        <v>0</v>
      </c>
      <c r="P30" s="5"/>
      <c r="Q30" s="5"/>
      <c r="R30" s="5"/>
      <c r="S30" s="5"/>
      <c r="T30" s="5"/>
      <c r="U30" s="5"/>
      <c r="V30" s="5"/>
      <c r="W30" s="5"/>
    </row>
    <row r="31" spans="1:29" ht="14.65" thickBot="1" x14ac:dyDescent="0.5">
      <c r="A31" s="5"/>
      <c r="B31" s="166" t="s">
        <v>175</v>
      </c>
      <c r="C31" s="167"/>
      <c r="D31" s="5">
        <f>IF($C$27&lt;=250,Datos!G111,"")</f>
        <v>82.8</v>
      </c>
      <c r="E31" s="5" t="str">
        <f>IF(AND($C$13=$D$14,$C$15&lt;&gt;"",$C$15&lt;&gt;$G$13,$C$14=F17),Datos!G36,"")</f>
        <v/>
      </c>
      <c r="F31" s="5"/>
      <c r="G31" s="5" t="str">
        <f>IF(AND(C11=D6,$D12=$D$14,$C$14=F16),Datos!G36,"")</f>
        <v/>
      </c>
      <c r="H31" s="5" t="str">
        <f>IF(AND(OR($C$13=$D$15,$C$13=$D$16),$C$14=F17,C11=D6),Datos!G42,"")</f>
        <v/>
      </c>
      <c r="I31" s="5"/>
      <c r="J31" s="16" t="s">
        <v>171</v>
      </c>
      <c r="K31" s="55">
        <f>L61</f>
        <v>0.15605690472917594</v>
      </c>
      <c r="L31" s="54">
        <f>L4*K31</f>
        <v>442.51183791195672</v>
      </c>
      <c r="M31" s="57">
        <f>M4*K31</f>
        <v>364.77677252825958</v>
      </c>
      <c r="O31" s="5"/>
      <c r="P31" s="5"/>
      <c r="Q31" s="5"/>
      <c r="R31" s="5"/>
      <c r="S31" s="5"/>
      <c r="T31" s="5"/>
      <c r="U31" s="5"/>
      <c r="V31" s="5"/>
      <c r="W31" s="5"/>
    </row>
    <row r="32" spans="1:29" ht="14.65" thickBot="1" x14ac:dyDescent="0.5">
      <c r="A32" s="5"/>
      <c r="B32" s="27" t="s">
        <v>177</v>
      </c>
      <c r="C32" s="20" t="s">
        <v>144</v>
      </c>
      <c r="D32" s="5">
        <f>IF($C$27&lt;=300,Datos!G112,"")</f>
        <v>99.36</v>
      </c>
      <c r="E32" s="5" t="str">
        <f>IF(AND($C$13=$D$14,$C$15&lt;&gt;"",$C$15&lt;&gt;$G$13,$C$14=F18),Datos!G37,"")</f>
        <v/>
      </c>
      <c r="F32" s="5"/>
      <c r="G32" s="5" t="str">
        <f>IF(AND(C11=D6,$D12=$D$14,$C$14=F17),Datos!G37,"")</f>
        <v/>
      </c>
      <c r="H32" s="5"/>
      <c r="I32" s="5"/>
      <c r="O32" s="5" t="s">
        <v>182</v>
      </c>
      <c r="P32" s="5"/>
      <c r="Q32" s="5"/>
      <c r="R32" s="5"/>
      <c r="S32" s="5"/>
      <c r="T32" s="5"/>
      <c r="U32" s="5"/>
      <c r="V32" s="5"/>
      <c r="W32" s="5"/>
    </row>
    <row r="33" spans="1:23" ht="14.65" thickBot="1" x14ac:dyDescent="0.5">
      <c r="A33" s="5"/>
      <c r="B33" s="27" t="s">
        <v>197</v>
      </c>
      <c r="C33" s="148">
        <v>0</v>
      </c>
      <c r="D33" s="5">
        <f>IF($C$27&lt;=350,Datos!G113,"")</f>
        <v>115.92</v>
      </c>
      <c r="E33" s="5"/>
      <c r="F33" s="5" t="str">
        <f>IF(AND(OR($C$13=$D$15,$C$13=$D$16),$C$15&lt;&gt;"",$C$15&lt;&gt;$G$13,$C$14=F19),Datos!G44,"")</f>
        <v/>
      </c>
      <c r="G33" s="5" t="str">
        <f>IF(AND(C11=D6,$D12=$D$14,$C$14=F18),Datos!G38,"")</f>
        <v/>
      </c>
      <c r="H33" s="5"/>
      <c r="I33" s="5"/>
      <c r="J33" s="25"/>
      <c r="K33" s="25"/>
      <c r="L33" s="25"/>
      <c r="M33" s="25"/>
      <c r="O33" s="5" t="s">
        <v>183</v>
      </c>
      <c r="P33" s="5">
        <v>2400</v>
      </c>
      <c r="Q33" s="5">
        <v>2400</v>
      </c>
      <c r="R33" s="5"/>
      <c r="S33" s="5"/>
      <c r="T33" s="5"/>
      <c r="U33" s="5"/>
      <c r="V33" s="5"/>
      <c r="W33" s="5"/>
    </row>
    <row r="34" spans="1:23" ht="14.65" thickBot="1" x14ac:dyDescent="0.5">
      <c r="A34" s="5"/>
      <c r="B34" s="27" t="s">
        <v>196</v>
      </c>
      <c r="C34" s="148">
        <v>0</v>
      </c>
      <c r="D34" s="5">
        <f>IF($C$27&lt;=450,Datos!G114,"")</f>
        <v>132.47999999999999</v>
      </c>
      <c r="E34" s="5"/>
      <c r="F34" s="5"/>
      <c r="G34" s="5"/>
      <c r="H34" s="5"/>
      <c r="I34" s="5"/>
      <c r="J34" s="85" t="s">
        <v>173</v>
      </c>
      <c r="K34" s="86"/>
      <c r="L34" s="87"/>
      <c r="M34" s="25"/>
      <c r="O34" s="5" t="s">
        <v>184</v>
      </c>
      <c r="P34" s="5">
        <v>2700</v>
      </c>
      <c r="Q34" s="5">
        <f>Q33+P34</f>
        <v>5100</v>
      </c>
      <c r="R34" s="5"/>
      <c r="S34" s="5"/>
      <c r="T34" s="5"/>
      <c r="U34" s="5"/>
      <c r="V34" s="5"/>
      <c r="W34" s="5"/>
    </row>
    <row r="35" spans="1:23" ht="14.65" thickBot="1" x14ac:dyDescent="0.5">
      <c r="A35" s="5" t="s">
        <v>165</v>
      </c>
      <c r="B35" s="28" t="s">
        <v>180</v>
      </c>
      <c r="C35" s="20">
        <v>3</v>
      </c>
      <c r="D35" s="5">
        <f>IF($C$27&lt;=450,Datos!G115,"")</f>
        <v>149.04</v>
      </c>
      <c r="E35" s="5"/>
      <c r="F35" s="5"/>
      <c r="G35" s="5"/>
      <c r="H35" s="5"/>
      <c r="I35" s="5"/>
      <c r="J35" s="42" t="s">
        <v>174</v>
      </c>
      <c r="K35" s="43"/>
      <c r="L35" s="81">
        <f>L4*12+M4*2</f>
        <v>38701.879999999997</v>
      </c>
      <c r="O35" s="5" t="s">
        <v>185</v>
      </c>
      <c r="P35" s="5">
        <v>4000</v>
      </c>
      <c r="Q35" s="5">
        <f>Q34+P35</f>
        <v>9100</v>
      </c>
      <c r="R35" s="5"/>
      <c r="S35" s="5"/>
      <c r="T35" s="5"/>
      <c r="U35" s="5"/>
      <c r="V35" s="5"/>
      <c r="W35" s="5"/>
    </row>
    <row r="36" spans="1:23" ht="14.75" customHeight="1" thickBot="1" x14ac:dyDescent="0.5">
      <c r="A36" s="5" t="s">
        <v>166</v>
      </c>
      <c r="B36" s="27" t="s">
        <v>179</v>
      </c>
      <c r="C36" s="20">
        <v>0</v>
      </c>
      <c r="D36" s="5">
        <f>IF($C$27&lt;=1000050,Datos!G116,"")</f>
        <v>165.6</v>
      </c>
      <c r="E36" s="5"/>
      <c r="F36" s="5"/>
      <c r="G36" s="5"/>
      <c r="H36" s="5"/>
      <c r="I36" s="5"/>
      <c r="J36" s="9" t="s">
        <v>265</v>
      </c>
      <c r="K36" s="10"/>
      <c r="L36" s="11">
        <f>IF(AND(C47="Sí",L35&lt;33007.2),TRUNC(L35*0.02),0)</f>
        <v>0</v>
      </c>
      <c r="M36" s="24"/>
      <c r="N36" s="24"/>
      <c r="O36" s="5" t="s">
        <v>186</v>
      </c>
      <c r="P36" s="5">
        <v>4500</v>
      </c>
      <c r="Q36" s="5"/>
      <c r="R36" s="5"/>
      <c r="S36" s="5"/>
      <c r="T36" s="5"/>
      <c r="U36" s="5"/>
      <c r="V36" s="5"/>
      <c r="W36" s="5"/>
    </row>
    <row r="37" spans="1:23" ht="14.75" customHeight="1" thickBot="1" x14ac:dyDescent="0.5">
      <c r="A37" s="5" t="s">
        <v>167</v>
      </c>
      <c r="B37" s="29" t="s">
        <v>202</v>
      </c>
      <c r="C37" s="20" t="s">
        <v>144</v>
      </c>
      <c r="D37" s="5" t="str">
        <f>IF(B69=A68,"Sí","No")</f>
        <v>Sí</v>
      </c>
      <c r="E37" s="5"/>
      <c r="F37" s="5"/>
      <c r="G37" s="5"/>
      <c r="H37" s="5"/>
      <c r="I37" s="5"/>
      <c r="J37" s="9" t="s">
        <v>271</v>
      </c>
      <c r="K37" s="10"/>
      <c r="L37" s="11">
        <f>IF(L35-L38&lt;14047.5,6498,IF(L35-L38&lt;19747.5,6498-(1.14*(L35-L38-14047.5)),0))</f>
        <v>0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4.75" customHeight="1" thickBot="1" x14ac:dyDescent="0.5">
      <c r="A38" s="5" t="s">
        <v>188</v>
      </c>
      <c r="B38" s="27" t="s">
        <v>187</v>
      </c>
      <c r="C38" s="20" t="s">
        <v>188</v>
      </c>
      <c r="D38" s="5"/>
      <c r="E38" s="5"/>
      <c r="F38" s="5"/>
      <c r="G38" s="5"/>
      <c r="H38" s="5"/>
      <c r="I38" s="5"/>
      <c r="J38" s="42" t="s">
        <v>242</v>
      </c>
      <c r="K38" s="43"/>
      <c r="L38" s="81">
        <f>SUM(L26:L29)*14+SUM(M26:M29)*2</f>
        <v>0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4.75" customHeight="1" thickBot="1" x14ac:dyDescent="0.5">
      <c r="A39" s="5" t="s">
        <v>190</v>
      </c>
      <c r="B39" s="29" t="s">
        <v>195</v>
      </c>
      <c r="C39" s="20" t="s">
        <v>144</v>
      </c>
      <c r="D39" s="5"/>
      <c r="E39" s="5"/>
      <c r="F39" s="5"/>
      <c r="G39" s="5"/>
      <c r="H39" s="5"/>
      <c r="I39" s="5"/>
      <c r="J39" s="42" t="s">
        <v>247</v>
      </c>
      <c r="K39" s="43"/>
      <c r="L39" s="81">
        <f>C33+2000+M40</f>
        <v>2000</v>
      </c>
      <c r="M39" s="5"/>
      <c r="N39" s="5"/>
      <c r="O39" s="24"/>
      <c r="P39" s="5"/>
      <c r="Q39" s="5"/>
      <c r="R39" s="5"/>
      <c r="S39" s="5"/>
      <c r="T39" s="5"/>
      <c r="U39" s="5"/>
      <c r="V39" s="5"/>
      <c r="W39" s="5"/>
    </row>
    <row r="40" spans="1:23" ht="14.75" customHeight="1" thickBot="1" x14ac:dyDescent="0.5">
      <c r="A40" s="5" t="s">
        <v>189</v>
      </c>
      <c r="B40" s="27" t="s">
        <v>198</v>
      </c>
      <c r="C40" s="20">
        <v>1</v>
      </c>
      <c r="D40" s="5"/>
      <c r="E40" s="5"/>
      <c r="F40" s="5"/>
      <c r="G40" s="5"/>
      <c r="H40" s="5"/>
      <c r="I40" s="5"/>
      <c r="J40" s="42" t="s">
        <v>176</v>
      </c>
      <c r="K40" s="43"/>
      <c r="L40" s="81">
        <f>IF(C32="Sí",1150+5550,5550)</f>
        <v>5550</v>
      </c>
      <c r="M40" s="5">
        <f>IF(AND(C38=A41,C39="No"),3500,IF(OR(C38=A40,C38=A41),7750,0))</f>
        <v>0</v>
      </c>
      <c r="N40" s="5"/>
      <c r="O40" s="24"/>
      <c r="P40" s="5"/>
      <c r="Q40" s="5"/>
      <c r="R40" s="5"/>
      <c r="S40" s="5"/>
      <c r="T40" s="5"/>
      <c r="U40" s="5"/>
      <c r="V40" s="5"/>
      <c r="W40" s="5"/>
    </row>
    <row r="41" spans="1:23" ht="14.75" customHeight="1" x14ac:dyDescent="0.45">
      <c r="A41" s="5" t="s">
        <v>191</v>
      </c>
      <c r="B41" s="168" t="s">
        <v>213</v>
      </c>
      <c r="C41" s="170">
        <v>0</v>
      </c>
      <c r="D41" s="5"/>
      <c r="E41" s="5"/>
      <c r="F41" s="5"/>
      <c r="G41" s="5"/>
      <c r="H41" s="5"/>
      <c r="I41" s="5"/>
      <c r="J41" s="42" t="s">
        <v>178</v>
      </c>
      <c r="K41" s="43"/>
      <c r="L41" s="81">
        <f>SUM(C70:C73)</f>
        <v>0</v>
      </c>
      <c r="M41" s="5"/>
      <c r="N41" s="5"/>
      <c r="O41" s="24"/>
      <c r="P41" s="5"/>
      <c r="Q41" s="5"/>
      <c r="R41" s="5"/>
      <c r="S41" s="5"/>
      <c r="T41" s="5"/>
      <c r="U41" s="5"/>
      <c r="V41" s="5"/>
      <c r="W41" s="5"/>
    </row>
    <row r="42" spans="1:23" ht="14.75" customHeight="1" x14ac:dyDescent="0.45">
      <c r="A42" s="5"/>
      <c r="B42" s="168"/>
      <c r="C42" s="171"/>
      <c r="D42" s="5"/>
      <c r="E42" s="5"/>
      <c r="F42" s="5"/>
      <c r="G42" s="5"/>
      <c r="H42" s="5"/>
      <c r="I42" s="5"/>
      <c r="J42" s="42" t="s">
        <v>181</v>
      </c>
      <c r="K42" s="43"/>
      <c r="L42" s="81">
        <f>IF(C37="no",M48/2+1400*C36,M48+2800*C36)</f>
        <v>4550</v>
      </c>
      <c r="M42" s="5"/>
      <c r="N42" s="5"/>
      <c r="O42" s="24"/>
      <c r="P42" s="5"/>
      <c r="Q42" s="5"/>
      <c r="R42" s="5"/>
      <c r="S42" s="5"/>
      <c r="T42" s="5"/>
      <c r="U42" s="5"/>
      <c r="V42" s="5"/>
      <c r="W42" s="5"/>
    </row>
    <row r="43" spans="1:23" ht="14.75" customHeight="1" thickBot="1" x14ac:dyDescent="0.5">
      <c r="A43" s="5"/>
      <c r="B43" s="169"/>
      <c r="C43" s="172"/>
      <c r="D43" s="5"/>
      <c r="E43" s="5"/>
      <c r="F43" s="5"/>
      <c r="G43" s="5"/>
      <c r="H43" s="5"/>
      <c r="I43" s="5"/>
      <c r="J43" s="42" t="s">
        <v>192</v>
      </c>
      <c r="K43" s="43"/>
      <c r="L43" s="81">
        <f>IF(C38=A40,9000,IF(C38=A41,3000,0))</f>
        <v>0</v>
      </c>
      <c r="M43" s="5"/>
      <c r="N43" s="5"/>
      <c r="O43" s="24"/>
      <c r="P43" s="5"/>
      <c r="Q43" s="5"/>
      <c r="R43" s="5"/>
      <c r="S43" s="5"/>
      <c r="T43" s="5"/>
      <c r="U43" s="5"/>
      <c r="V43" s="5"/>
      <c r="W43" s="5"/>
    </row>
    <row r="44" spans="1:23" ht="14.75" customHeight="1" x14ac:dyDescent="0.45">
      <c r="A44" s="5"/>
      <c r="B44" s="173" t="s">
        <v>213</v>
      </c>
      <c r="C44" s="170">
        <v>0</v>
      </c>
      <c r="D44" s="5"/>
      <c r="E44" s="5"/>
      <c r="F44" s="5"/>
      <c r="G44" s="5"/>
      <c r="H44" s="5"/>
      <c r="I44" s="5"/>
      <c r="J44" s="42" t="s">
        <v>193</v>
      </c>
      <c r="K44" s="43"/>
      <c r="L44" s="81">
        <f>SUM(C74:C77)</f>
        <v>0</v>
      </c>
      <c r="M44" s="5"/>
      <c r="N44" s="5"/>
      <c r="O44" s="24"/>
      <c r="P44" s="5"/>
      <c r="Q44" s="5"/>
      <c r="R44" s="5"/>
      <c r="S44" s="5"/>
      <c r="T44" s="5"/>
      <c r="U44" s="5"/>
      <c r="V44" s="5"/>
      <c r="W44" s="5"/>
    </row>
    <row r="45" spans="1:23" ht="14.75" customHeight="1" x14ac:dyDescent="0.45">
      <c r="A45" s="5"/>
      <c r="B45" s="168"/>
      <c r="C45" s="171"/>
      <c r="D45" s="5"/>
      <c r="E45" s="5"/>
      <c r="F45" s="5"/>
      <c r="G45" s="5"/>
      <c r="H45" s="5"/>
      <c r="I45" s="5"/>
      <c r="J45" s="42" t="s">
        <v>194</v>
      </c>
      <c r="K45" s="43"/>
      <c r="L45" s="81">
        <f>IF(C37="Sí",M50,M50/2)</f>
        <v>6000</v>
      </c>
      <c r="M45" s="5"/>
      <c r="N45" s="5"/>
      <c r="O45" s="24"/>
      <c r="P45" s="5"/>
      <c r="Q45" s="5"/>
      <c r="R45" s="5"/>
      <c r="S45" s="5"/>
      <c r="T45" s="5"/>
      <c r="U45" s="5"/>
      <c r="V45" s="5"/>
      <c r="W45" s="5"/>
    </row>
    <row r="46" spans="1:23" ht="14.75" customHeight="1" thickBot="1" x14ac:dyDescent="0.5">
      <c r="A46" s="5"/>
      <c r="B46" s="169"/>
      <c r="C46" s="172"/>
      <c r="D46" s="5"/>
      <c r="E46" s="5"/>
      <c r="F46" s="5"/>
      <c r="G46" s="5"/>
      <c r="H46" s="5"/>
      <c r="I46" s="5"/>
      <c r="J46" s="42" t="s">
        <v>212</v>
      </c>
      <c r="K46" s="43"/>
      <c r="L46" s="81">
        <f>IF(OR(C39="Sí",C38=A40),3000,0)</f>
        <v>0</v>
      </c>
      <c r="M46" s="5"/>
      <c r="N46" s="5"/>
      <c r="O46" s="24"/>
      <c r="P46" s="5"/>
      <c r="Q46" s="5"/>
      <c r="R46" s="5"/>
      <c r="S46" s="5"/>
      <c r="T46" s="5"/>
      <c r="U46" s="5"/>
      <c r="V46" s="5"/>
      <c r="W46" s="5"/>
    </row>
    <row r="47" spans="1:23" ht="14.75" customHeight="1" thickBot="1" x14ac:dyDescent="0.5">
      <c r="A47" s="24"/>
      <c r="B47" s="27" t="s">
        <v>273</v>
      </c>
      <c r="C47" s="20" t="s">
        <v>144</v>
      </c>
      <c r="D47" s="5"/>
      <c r="E47" s="5"/>
      <c r="F47" s="5"/>
      <c r="G47" s="5"/>
      <c r="H47" s="5"/>
      <c r="I47" s="5"/>
      <c r="J47" s="9" t="s">
        <v>214</v>
      </c>
      <c r="K47" s="10"/>
      <c r="L47" s="11">
        <f>SUM(L40:L46)</f>
        <v>16100</v>
      </c>
      <c r="M47" s="5"/>
      <c r="N47" s="5"/>
      <c r="O47" s="24"/>
      <c r="P47" s="5"/>
      <c r="Q47" s="5"/>
      <c r="R47" s="5"/>
      <c r="S47" s="5"/>
      <c r="T47" s="5"/>
      <c r="U47" s="5"/>
      <c r="V47" s="5"/>
      <c r="W47" s="5"/>
    </row>
    <row r="48" spans="1:23" ht="14.75" customHeight="1" thickBot="1" x14ac:dyDescent="0.5">
      <c r="A48" s="24"/>
      <c r="B48" s="27" t="s">
        <v>266</v>
      </c>
      <c r="C48" s="149"/>
      <c r="D48" s="5"/>
      <c r="E48" s="5"/>
      <c r="F48" s="5"/>
      <c r="G48" s="5"/>
      <c r="H48" s="5"/>
      <c r="I48" s="5"/>
      <c r="J48" s="9" t="s">
        <v>215</v>
      </c>
      <c r="K48" s="10"/>
      <c r="L48" s="11">
        <f>MAX(0,L35-L38-L39-L37)</f>
        <v>36701.879999999997</v>
      </c>
      <c r="M48" s="5">
        <f>IF(C35=1,Q33,IF(C35=2,Q34,IF(C35=3,Q35,IF(C35&lt;1,0,Q35+4500*(C35-3)))))</f>
        <v>9100</v>
      </c>
      <c r="N48" s="5"/>
      <c r="O48" s="24"/>
      <c r="P48" s="5"/>
      <c r="Q48" s="5"/>
      <c r="R48" s="5"/>
      <c r="S48" s="5"/>
      <c r="T48" s="5"/>
      <c r="U48" s="5"/>
      <c r="V48" s="5"/>
      <c r="W48" s="5"/>
    </row>
    <row r="49" spans="1:23" ht="14.75" customHeight="1" thickBot="1" x14ac:dyDescent="0.5">
      <c r="A49" s="24"/>
      <c r="B49" s="30" t="s">
        <v>199</v>
      </c>
      <c r="C49" s="141"/>
      <c r="D49" s="5"/>
      <c r="E49" s="5"/>
      <c r="F49" s="5"/>
      <c r="G49" s="5"/>
      <c r="H49" s="5"/>
      <c r="I49" s="5"/>
      <c r="J49" s="9" t="s">
        <v>216</v>
      </c>
      <c r="K49" s="10"/>
      <c r="L49" s="11">
        <f>IF(L47&gt;12450,0,MAX(0,MIN(12450,L48)-L47))</f>
        <v>0</v>
      </c>
      <c r="M49" s="5"/>
      <c r="N49" s="5"/>
      <c r="O49" s="24"/>
      <c r="P49" s="5"/>
      <c r="Q49" s="5"/>
      <c r="R49" s="5"/>
      <c r="S49" s="5"/>
      <c r="T49" s="5"/>
      <c r="U49" s="5"/>
      <c r="V49" s="5"/>
      <c r="W49" s="5"/>
    </row>
    <row r="50" spans="1:23" ht="14.75" customHeight="1" thickBot="1" x14ac:dyDescent="0.5">
      <c r="A50" s="24"/>
      <c r="B50" s="30" t="s">
        <v>200</v>
      </c>
      <c r="C50" s="141" t="s">
        <v>188</v>
      </c>
      <c r="D50" s="5"/>
      <c r="E50" s="5"/>
      <c r="F50" s="5"/>
      <c r="G50" s="5"/>
      <c r="H50" s="5"/>
      <c r="I50" s="5"/>
      <c r="J50" s="9" t="s">
        <v>217</v>
      </c>
      <c r="K50" s="10"/>
      <c r="L50" s="11">
        <f>IF(IF(L47&gt;20200,0,IF(L48&gt;20200,MIN(20200-L47,20200-12450),MIN(L48-L47,L48-12450)))&lt;0,0,IF(L47&gt;20200,0,IF(L48&gt;20200,MIN(20200-L47,20200-12450),MIN(L48-L47,L48-12450))))</f>
        <v>4100</v>
      </c>
      <c r="M50" s="5">
        <f>C40*12000+C41*6000+C44*3000</f>
        <v>12000</v>
      </c>
      <c r="N50" s="5"/>
      <c r="O50" s="24"/>
      <c r="P50" s="5"/>
      <c r="Q50" s="5"/>
      <c r="R50" s="5"/>
      <c r="S50" s="5"/>
      <c r="T50" s="5"/>
      <c r="U50" s="5"/>
      <c r="V50" s="5"/>
      <c r="W50" s="5"/>
    </row>
    <row r="51" spans="1:23" ht="14.75" customHeight="1" thickBot="1" x14ac:dyDescent="0.5">
      <c r="A51" s="24"/>
      <c r="B51" s="30" t="s">
        <v>207</v>
      </c>
      <c r="C51" s="20" t="s">
        <v>144</v>
      </c>
      <c r="D51" s="5"/>
      <c r="E51" s="5"/>
      <c r="F51" s="5"/>
      <c r="G51" s="5"/>
      <c r="H51" s="5"/>
      <c r="I51" s="5"/>
      <c r="J51" s="9" t="s">
        <v>218</v>
      </c>
      <c r="K51" s="10"/>
      <c r="L51" s="11">
        <f>IF(IF(L47&gt;35200,0,IF(L48&gt;35200,MIN(35200-L47,35200-20200),MIN(L48-L47,L48-20200)))&lt;0,0,IF(L47&gt;35200,0,IF(L48&gt;35200,MIN(35200-L47,35200-20200),MIN(L48-L47,L48-20200))))</f>
        <v>15000</v>
      </c>
      <c r="M51" s="5"/>
      <c r="N51" s="5"/>
      <c r="O51" s="24"/>
      <c r="P51" s="5"/>
      <c r="Q51" s="5"/>
      <c r="R51" s="5"/>
      <c r="S51" s="5"/>
      <c r="T51" s="5"/>
      <c r="U51" s="5"/>
      <c r="V51" s="5"/>
      <c r="W51" s="5"/>
    </row>
    <row r="52" spans="1:23" ht="14.75" customHeight="1" thickBot="1" x14ac:dyDescent="0.5">
      <c r="A52" s="5"/>
      <c r="B52" s="31" t="s">
        <v>201</v>
      </c>
      <c r="C52" s="141"/>
      <c r="D52" s="5"/>
      <c r="E52" s="5"/>
      <c r="F52" s="5"/>
      <c r="G52" s="5"/>
      <c r="H52" s="5"/>
      <c r="I52" s="5"/>
      <c r="J52" s="9" t="s">
        <v>219</v>
      </c>
      <c r="K52" s="10"/>
      <c r="L52" s="11">
        <f>IF(IF(L47&gt;60000,0,IF(L48&gt;60000,MIN(35200-L47,60000-35200),MIN(L48-L47,L48-35200)))&lt;0,0,IF(L47&gt;60000,0,IF(L48&gt;60000,MIN(35200-L47,60000-35200),MIN(L48-L47,L48-35200))))</f>
        <v>1501.8799999999974</v>
      </c>
      <c r="M52" s="5"/>
      <c r="N52" s="5"/>
      <c r="O52" s="24"/>
      <c r="P52" s="5"/>
      <c r="Q52" s="5"/>
      <c r="R52" s="5"/>
      <c r="S52" s="5"/>
      <c r="T52" s="5"/>
      <c r="U52" s="5"/>
      <c r="V52" s="5"/>
      <c r="W52" s="5"/>
    </row>
    <row r="53" spans="1:23" ht="14.75" customHeight="1" thickBot="1" x14ac:dyDescent="0.5">
      <c r="A53" s="5"/>
      <c r="B53" s="27" t="s">
        <v>267</v>
      </c>
      <c r="C53" s="149"/>
      <c r="H53" s="5"/>
      <c r="I53" s="5"/>
      <c r="J53" s="9" t="s">
        <v>220</v>
      </c>
      <c r="K53" s="10"/>
      <c r="L53" s="11">
        <f>IF(IF(L47&gt;30000,0,IF(L48&gt;300000,MIN(60000-L47,300000-60000),MIN(L48-L47,L48-60000)))&lt;0,0,IF(L47&gt;30000,0,IF(L48&gt;300000,MIN(60000-L47,300000-60000),MIN(L48-L47,L48-60000))))</f>
        <v>0</v>
      </c>
      <c r="M53" s="5"/>
      <c r="N53" s="5"/>
      <c r="O53" s="24"/>
      <c r="P53" s="5"/>
      <c r="Q53" s="5"/>
      <c r="R53" s="5"/>
      <c r="S53" s="5"/>
      <c r="T53" s="5"/>
      <c r="U53" s="5"/>
      <c r="V53" s="5"/>
      <c r="W53" s="5"/>
    </row>
    <row r="54" spans="1:23" ht="14.75" customHeight="1" thickBot="1" x14ac:dyDescent="0.5">
      <c r="A54" s="5"/>
      <c r="B54" s="30" t="s">
        <v>199</v>
      </c>
      <c r="C54" s="141"/>
      <c r="H54" s="5"/>
      <c r="I54" s="5"/>
      <c r="J54" s="9" t="s">
        <v>221</v>
      </c>
      <c r="K54" s="10"/>
      <c r="L54" s="11">
        <f>ROUND(L49*0.19,2)</f>
        <v>0</v>
      </c>
      <c r="M54" s="5"/>
      <c r="N54" s="5"/>
      <c r="O54" s="24"/>
      <c r="P54" s="5"/>
      <c r="Q54" s="5"/>
      <c r="R54" s="5"/>
      <c r="S54" s="5"/>
      <c r="T54" s="5"/>
      <c r="U54" s="5"/>
      <c r="V54" s="5"/>
      <c r="W54" s="5"/>
    </row>
    <row r="55" spans="1:23" ht="14.75" customHeight="1" thickBot="1" x14ac:dyDescent="0.5">
      <c r="A55" s="5"/>
      <c r="B55" s="30" t="s">
        <v>200</v>
      </c>
      <c r="C55" s="141" t="s">
        <v>188</v>
      </c>
      <c r="G55" s="5"/>
      <c r="H55" s="5"/>
      <c r="I55" s="5"/>
      <c r="J55" s="9" t="s">
        <v>222</v>
      </c>
      <c r="K55" s="10"/>
      <c r="L55" s="11">
        <f>ROUND(L50*0.24,2)</f>
        <v>984</v>
      </c>
      <c r="M55" s="5"/>
      <c r="N55" s="5"/>
      <c r="P55" s="5"/>
      <c r="Q55" s="5"/>
      <c r="R55" s="5"/>
      <c r="S55" s="5"/>
      <c r="T55" s="5"/>
      <c r="U55" s="5"/>
      <c r="V55" s="5"/>
      <c r="W55" s="5"/>
    </row>
    <row r="56" spans="1:23" ht="14.75" customHeight="1" thickBot="1" x14ac:dyDescent="0.5">
      <c r="A56" s="5"/>
      <c r="B56" s="30" t="s">
        <v>207</v>
      </c>
      <c r="C56" s="20" t="s">
        <v>144</v>
      </c>
      <c r="G56" s="5"/>
      <c r="H56" s="5"/>
      <c r="I56" s="5"/>
      <c r="J56" s="9" t="s">
        <v>223</v>
      </c>
      <c r="K56" s="10"/>
      <c r="L56" s="11">
        <f>ROUND(L51*0.3,2)</f>
        <v>4500</v>
      </c>
      <c r="M56" s="5"/>
      <c r="N56" s="5"/>
      <c r="P56" s="5"/>
      <c r="Q56" s="5"/>
      <c r="R56" s="5"/>
      <c r="S56" s="5"/>
      <c r="T56" s="5"/>
      <c r="U56" s="5"/>
      <c r="V56" s="5"/>
      <c r="W56" s="5"/>
    </row>
    <row r="57" spans="1:23" ht="14.75" customHeight="1" thickBot="1" x14ac:dyDescent="0.5">
      <c r="A57" s="5"/>
      <c r="B57" s="31" t="s">
        <v>201</v>
      </c>
      <c r="C57" s="141"/>
      <c r="G57" s="5"/>
      <c r="H57" s="5"/>
      <c r="I57" s="5"/>
      <c r="J57" s="9" t="s">
        <v>224</v>
      </c>
      <c r="K57" s="10"/>
      <c r="L57" s="11">
        <f>ROUND(L52*0.37,2)</f>
        <v>555.70000000000005</v>
      </c>
      <c r="P57" s="5"/>
      <c r="Q57" s="5"/>
      <c r="R57" s="5"/>
      <c r="S57" s="5"/>
      <c r="T57" s="5"/>
      <c r="U57" s="5"/>
      <c r="V57" s="5"/>
      <c r="W57" s="5"/>
    </row>
    <row r="58" spans="1:23" ht="14.65" thickBot="1" x14ac:dyDescent="0.5">
      <c r="A58" s="5"/>
      <c r="B58" s="27" t="s">
        <v>268</v>
      </c>
      <c r="C58" s="149"/>
      <c r="G58" s="5"/>
      <c r="H58" s="5"/>
      <c r="I58" s="5"/>
      <c r="J58" s="9" t="s">
        <v>225</v>
      </c>
      <c r="K58" s="10"/>
      <c r="L58" s="11">
        <f>ROUND(L53*0.45,2)</f>
        <v>0</v>
      </c>
      <c r="P58" s="5"/>
      <c r="Q58" s="5"/>
      <c r="R58" s="5"/>
      <c r="S58" s="5"/>
      <c r="T58" s="5"/>
      <c r="U58" s="5"/>
      <c r="V58" s="5"/>
      <c r="W58" s="5"/>
    </row>
    <row r="59" spans="1:23" ht="14.65" thickBot="1" x14ac:dyDescent="0.5">
      <c r="A59" s="5"/>
      <c r="B59" s="30" t="s">
        <v>199</v>
      </c>
      <c r="C59" s="141"/>
      <c r="G59" s="5"/>
      <c r="H59" s="5"/>
      <c r="I59" s="5"/>
      <c r="J59" s="9" t="s">
        <v>272</v>
      </c>
      <c r="K59" s="10"/>
      <c r="L59" s="56">
        <f>SUM(L54:L58)</f>
        <v>6039.7</v>
      </c>
      <c r="P59" s="5"/>
      <c r="Q59" s="5"/>
      <c r="R59" s="5"/>
      <c r="S59" s="5"/>
      <c r="T59" s="5"/>
      <c r="U59" s="5"/>
      <c r="V59" s="5"/>
      <c r="W59" s="5"/>
    </row>
    <row r="60" spans="1:23" ht="14.65" thickBot="1" x14ac:dyDescent="0.5">
      <c r="A60" s="5"/>
      <c r="B60" s="30" t="s">
        <v>200</v>
      </c>
      <c r="C60" s="141" t="s">
        <v>188</v>
      </c>
      <c r="G60" s="5"/>
      <c r="H60" s="5"/>
      <c r="I60" s="5"/>
      <c r="J60" s="9" t="s">
        <v>270</v>
      </c>
      <c r="K60" s="10"/>
      <c r="L60" s="56">
        <f>MAX(0,C129-L36)</f>
        <v>6039.6955999999991</v>
      </c>
      <c r="P60" s="5"/>
      <c r="Q60" s="5"/>
      <c r="R60" s="5"/>
      <c r="S60" s="5"/>
      <c r="T60" s="5"/>
      <c r="U60" s="5"/>
      <c r="V60" s="5"/>
      <c r="W60" s="5"/>
    </row>
    <row r="61" spans="1:23" ht="14.65" thickBot="1" x14ac:dyDescent="0.5">
      <c r="A61" s="5"/>
      <c r="B61" s="32" t="s">
        <v>207</v>
      </c>
      <c r="C61" s="20" t="s">
        <v>144</v>
      </c>
      <c r="G61" s="5"/>
      <c r="H61" s="5"/>
      <c r="I61" s="5"/>
      <c r="J61" s="91" t="s">
        <v>226</v>
      </c>
      <c r="K61" s="92"/>
      <c r="L61" s="93">
        <f>IF(M61&lt;0.02,0.02,M61)</f>
        <v>0.15605690472917594</v>
      </c>
      <c r="M61" s="5">
        <f>IF(L60&lt;L59,L60/L35,L59/L35)</f>
        <v>0.15605690472917594</v>
      </c>
    </row>
    <row r="62" spans="1:23" ht="14.65" thickBot="1" x14ac:dyDescent="0.5">
      <c r="A62" s="5"/>
      <c r="B62" s="31" t="s">
        <v>201</v>
      </c>
      <c r="C62" s="141"/>
      <c r="G62" s="5"/>
      <c r="H62" s="5"/>
      <c r="I62" s="5"/>
    </row>
    <row r="63" spans="1:23" ht="14.65" thickBot="1" x14ac:dyDescent="0.5">
      <c r="A63" s="5"/>
      <c r="B63" s="27" t="s">
        <v>269</v>
      </c>
      <c r="C63" s="149"/>
      <c r="G63" s="5"/>
      <c r="H63" s="5"/>
      <c r="I63" s="5"/>
      <c r="J63" s="85" t="s">
        <v>228</v>
      </c>
      <c r="K63" s="88"/>
      <c r="L63" s="89"/>
    </row>
    <row r="64" spans="1:23" ht="14.65" thickBot="1" x14ac:dyDescent="0.5">
      <c r="A64" s="5"/>
      <c r="B64" s="30" t="s">
        <v>199</v>
      </c>
      <c r="C64" s="141"/>
      <c r="G64" s="5"/>
      <c r="H64" s="5"/>
      <c r="I64" s="5"/>
      <c r="J64" s="9" t="s">
        <v>230</v>
      </c>
      <c r="K64" s="7"/>
      <c r="L64" s="82">
        <v>4.7E-2</v>
      </c>
    </row>
    <row r="65" spans="1:12" ht="14.65" thickBot="1" x14ac:dyDescent="0.5">
      <c r="A65" s="5"/>
      <c r="B65" s="30" t="s">
        <v>200</v>
      </c>
      <c r="C65" s="141" t="s">
        <v>188</v>
      </c>
      <c r="G65" s="5"/>
      <c r="H65" s="5"/>
      <c r="I65" s="5"/>
      <c r="J65" s="9" t="s">
        <v>231</v>
      </c>
      <c r="K65" s="7"/>
      <c r="L65" s="82">
        <v>1.1999999999999999E-3</v>
      </c>
    </row>
    <row r="66" spans="1:12" ht="14.65" thickBot="1" x14ac:dyDescent="0.5">
      <c r="A66" s="5"/>
      <c r="B66" s="32" t="s">
        <v>207</v>
      </c>
      <c r="C66" s="20" t="s">
        <v>144</v>
      </c>
      <c r="G66" s="5"/>
      <c r="H66" s="5"/>
      <c r="I66" s="5"/>
      <c r="J66" s="9" t="s">
        <v>236</v>
      </c>
      <c r="K66" s="7"/>
      <c r="L66" s="82">
        <v>0.28299999999999997</v>
      </c>
    </row>
    <row r="67" spans="1:12" ht="14.65" thickBot="1" x14ac:dyDescent="0.5">
      <c r="A67" s="5"/>
      <c r="B67" s="32" t="s">
        <v>201</v>
      </c>
      <c r="C67" s="141"/>
      <c r="G67" s="5"/>
      <c r="H67" s="5"/>
      <c r="I67" s="5"/>
      <c r="J67" s="9" t="s">
        <v>235</v>
      </c>
      <c r="K67" s="7"/>
      <c r="L67" s="46">
        <v>1.0999999999999999E-2</v>
      </c>
    </row>
    <row r="68" spans="1:12" ht="14.65" thickBot="1" x14ac:dyDescent="0.5">
      <c r="A68" s="35" t="s">
        <v>246</v>
      </c>
      <c r="B68" s="28" t="s">
        <v>243</v>
      </c>
      <c r="C68" s="80">
        <f>IF(B69=A68,1,IF(B69=A69,2,IF(B69=A70,3,0)))</f>
        <v>1</v>
      </c>
      <c r="G68" s="5"/>
      <c r="H68" s="5"/>
      <c r="I68" s="5"/>
      <c r="J68" s="91" t="s">
        <v>234</v>
      </c>
      <c r="K68" s="92"/>
      <c r="L68" s="94">
        <f>L64+L65-(L66*L67)</f>
        <v>4.5087000000000002E-2</v>
      </c>
    </row>
    <row r="69" spans="1:12" ht="42" customHeight="1" thickBot="1" x14ac:dyDescent="0.5">
      <c r="A69" s="35" t="s">
        <v>244</v>
      </c>
      <c r="B69" s="156" t="s">
        <v>246</v>
      </c>
      <c r="C69" s="157"/>
      <c r="G69" s="5"/>
      <c r="H69" s="5"/>
      <c r="I69" s="5"/>
    </row>
    <row r="70" spans="1:12" x14ac:dyDescent="0.45">
      <c r="A70" s="35" t="s">
        <v>245</v>
      </c>
      <c r="B70" s="5" t="s">
        <v>203</v>
      </c>
      <c r="C70" s="5">
        <f>IF(C49&gt;=75,ROUND((1150+1400)/C52,2),IF(C49&gt;=65,ROUND(1150/C52,2),0))</f>
        <v>0</v>
      </c>
      <c r="G70" s="5"/>
      <c r="H70" s="5"/>
      <c r="I70" s="5"/>
      <c r="J70" s="85" t="s">
        <v>229</v>
      </c>
      <c r="K70" s="88"/>
      <c r="L70" s="89"/>
    </row>
    <row r="71" spans="1:12" x14ac:dyDescent="0.45">
      <c r="A71" s="5"/>
      <c r="B71" s="5" t="s">
        <v>204</v>
      </c>
      <c r="C71" s="5">
        <f>IF(C54&gt;=75,ROUND((1150+1400)/C57,2),IF(C54&gt;=65,ROUND(1150/C57,2),0))</f>
        <v>0</v>
      </c>
      <c r="D71" s="5"/>
      <c r="E71" s="5"/>
      <c r="F71" s="5"/>
      <c r="G71" s="5"/>
      <c r="H71" s="5"/>
      <c r="I71" s="5"/>
      <c r="J71" s="9" t="s">
        <v>230</v>
      </c>
      <c r="K71" s="7"/>
      <c r="L71" s="82">
        <v>4.7E-2</v>
      </c>
    </row>
    <row r="72" spans="1:12" x14ac:dyDescent="0.45">
      <c r="A72" s="5"/>
      <c r="B72" s="5" t="s">
        <v>205</v>
      </c>
      <c r="C72" s="5">
        <f>IF(C59&gt;=75,ROUND((1150+1400)/C62,2),IF(C59&gt;=65,ROUND(1150/C62,2),0))</f>
        <v>0</v>
      </c>
      <c r="D72" s="5"/>
      <c r="E72" s="5"/>
      <c r="F72" s="5"/>
      <c r="G72" s="5"/>
      <c r="H72" s="5"/>
      <c r="I72" s="5"/>
      <c r="J72" s="9" t="s">
        <v>231</v>
      </c>
      <c r="K72" s="7"/>
      <c r="L72" s="82">
        <v>1.1999999999999999E-3</v>
      </c>
    </row>
    <row r="73" spans="1:12" x14ac:dyDescent="0.45">
      <c r="A73" s="5"/>
      <c r="B73" s="5" t="s">
        <v>206</v>
      </c>
      <c r="C73" s="5">
        <f>IF(C64&gt;=75,ROUND((1150+1400)/C67,2),IF(C64&gt;=65,ROUND(1150/C67,2),0))</f>
        <v>0</v>
      </c>
      <c r="D73" s="5"/>
      <c r="E73" s="5"/>
      <c r="F73" s="5"/>
      <c r="G73" s="5"/>
      <c r="H73" s="5"/>
      <c r="I73" s="5"/>
      <c r="J73" s="9" t="s">
        <v>232</v>
      </c>
      <c r="K73" s="7"/>
      <c r="L73" s="82">
        <v>1.55E-2</v>
      </c>
    </row>
    <row r="74" spans="1:12" x14ac:dyDescent="0.45">
      <c r="A74" s="25"/>
      <c r="B74" s="5" t="s">
        <v>208</v>
      </c>
      <c r="C74" s="5">
        <f>IF(C49&lt;65,0,IF(C50=A40,ROUND(12000/C52,2),IF(AND(C50=A41,C51="No"),ROUND(3000/C52,2),IF(AND(C50=A41,C51="Sí"),ROUND(6000/C52,2),""))))</f>
        <v>0</v>
      </c>
      <c r="D74" s="5"/>
      <c r="E74" s="5"/>
      <c r="F74" s="5"/>
      <c r="G74" s="5"/>
      <c r="H74" s="5"/>
      <c r="I74" s="5"/>
      <c r="J74" s="9" t="s">
        <v>233</v>
      </c>
      <c r="K74" s="7"/>
      <c r="L74" s="82">
        <v>1E-3</v>
      </c>
    </row>
    <row r="75" spans="1:12" ht="14.65" thickBot="1" x14ac:dyDescent="0.5">
      <c r="A75" s="25"/>
      <c r="B75" s="5" t="s">
        <v>209</v>
      </c>
      <c r="C75" s="5">
        <f>IF(C54&lt;65,0,IF(C55=A40,ROUND(12000/C57,2),IF(AND(C55=A41,C56="No"),ROUND(3000/C57,2),IF(AND(C55=A41,C56="Sí"),ROUND(6000/C57,2),""))))</f>
        <v>0</v>
      </c>
      <c r="D75" s="5"/>
      <c r="E75" s="5"/>
      <c r="F75" s="5"/>
      <c r="G75" s="5"/>
      <c r="H75" s="5"/>
      <c r="I75" s="5"/>
      <c r="J75" s="91" t="s">
        <v>234</v>
      </c>
      <c r="K75" s="92"/>
      <c r="L75" s="93">
        <f>SUM(L71:L74)</f>
        <v>6.4700000000000008E-2</v>
      </c>
    </row>
    <row r="76" spans="1:12" x14ac:dyDescent="0.45">
      <c r="A76" s="25"/>
      <c r="B76" s="5" t="s">
        <v>210</v>
      </c>
      <c r="C76" s="5">
        <f>IF(C59&lt;65,0,IF(C60=A40,ROUND(12000/C62,2),IF(AND(C60=A41,C61="No"),ROUND(3000/C62,2),IF(AND(C60=A41,C61="Sí"),ROUND(6000/C62,2),""))))</f>
        <v>0</v>
      </c>
      <c r="D76" s="5"/>
      <c r="E76" s="5"/>
      <c r="F76" s="5"/>
      <c r="G76" s="5"/>
      <c r="H76" s="5"/>
      <c r="I76" s="5"/>
    </row>
    <row r="77" spans="1:12" x14ac:dyDescent="0.45">
      <c r="A77" s="25"/>
      <c r="B77" s="5" t="s">
        <v>211</v>
      </c>
      <c r="C77" s="5">
        <f>IF(C64&lt;65,0,IF(C65=A40,ROUND(12000/C67,2),IF(AND(C65=A41,C66="No"),ROUND(3000/C67,2),IF(AND(C65=A41,C66="Sí"),ROUND(6000/C67,2),""))))</f>
        <v>0</v>
      </c>
      <c r="D77" s="5"/>
      <c r="E77" s="5"/>
      <c r="F77" s="5"/>
      <c r="G77" s="5"/>
      <c r="H77" s="5"/>
      <c r="I77" s="5"/>
    </row>
    <row r="78" spans="1:12" x14ac:dyDescent="0.45">
      <c r="A78" s="25"/>
      <c r="B78" s="5"/>
      <c r="C78" s="5"/>
      <c r="I78" s="5"/>
    </row>
    <row r="79" spans="1:12" x14ac:dyDescent="0.45">
      <c r="A79" s="25"/>
      <c r="B79" s="5" t="s">
        <v>248</v>
      </c>
      <c r="C79" s="5"/>
      <c r="I79" s="5"/>
    </row>
    <row r="80" spans="1:12" x14ac:dyDescent="0.45">
      <c r="A80" s="25"/>
      <c r="B80" s="5" t="s">
        <v>249</v>
      </c>
      <c r="C80" s="39">
        <f>L48-C34</f>
        <v>36701.879999999997</v>
      </c>
      <c r="I80" s="5"/>
    </row>
    <row r="81" spans="1:9" x14ac:dyDescent="0.45">
      <c r="A81" s="25"/>
      <c r="B81" s="5" t="s">
        <v>250</v>
      </c>
      <c r="C81" s="39">
        <f>C34</f>
        <v>0</v>
      </c>
      <c r="I81" s="5"/>
    </row>
    <row r="82" spans="1:9" x14ac:dyDescent="0.45">
      <c r="A82" s="25"/>
      <c r="B82" s="5" t="s">
        <v>251</v>
      </c>
      <c r="C82" s="40">
        <f>MAX(B84:B89)</f>
        <v>9281.1955999999991</v>
      </c>
      <c r="I82" s="5"/>
    </row>
    <row r="83" spans="1:9" x14ac:dyDescent="0.45">
      <c r="A83" s="25"/>
      <c r="B83" s="5" t="s">
        <v>253</v>
      </c>
      <c r="C83" s="5"/>
      <c r="I83" s="5"/>
    </row>
    <row r="84" spans="1:9" x14ac:dyDescent="0.45">
      <c r="A84" s="25"/>
      <c r="B84" s="5" t="str">
        <f>IF(C80&lt;12450,0+(C80)*0.19,"")</f>
        <v/>
      </c>
      <c r="C84" s="5"/>
      <c r="I84" s="5"/>
    </row>
    <row r="85" spans="1:9" x14ac:dyDescent="0.45">
      <c r="A85" s="25"/>
      <c r="B85" s="5" t="str">
        <f>IF(AND(C80&gt;=12450,C80&lt;20200),2365.5+(C80-12450)*0.24,"")</f>
        <v/>
      </c>
      <c r="C85" s="5"/>
      <c r="I85" s="5"/>
    </row>
    <row r="86" spans="1:9" x14ac:dyDescent="0.45">
      <c r="A86" s="25"/>
      <c r="B86" s="5" t="str">
        <f>IF(AND(C80&gt;=20200,C80&lt;35200),4225.5+(C80-20200)*0.3,"")</f>
        <v/>
      </c>
      <c r="C86" s="5"/>
      <c r="I86" s="5"/>
    </row>
    <row r="87" spans="1:9" x14ac:dyDescent="0.45">
      <c r="A87" s="25"/>
      <c r="B87" s="5">
        <f>IF(AND(C80&gt;=35200,C80&lt;60000),8725.5+(C80-35200)*0.37,"")</f>
        <v>9281.1955999999991</v>
      </c>
      <c r="C87" s="5"/>
      <c r="I87" s="5"/>
    </row>
    <row r="88" spans="1:9" x14ac:dyDescent="0.45">
      <c r="A88" s="25"/>
      <c r="B88" s="5" t="str">
        <f>IF(AND(C80&gt;=60000,C80&lt;300000),17901.5+(C80-60000)*0.45,"")</f>
        <v/>
      </c>
      <c r="C88" s="5"/>
      <c r="I88" s="5"/>
    </row>
    <row r="89" spans="1:9" x14ac:dyDescent="0.45">
      <c r="A89" s="25"/>
      <c r="B89" s="5" t="str">
        <f>IF(C80&gt;300000,125901.5+(C80-300000)*0.47,"")</f>
        <v/>
      </c>
      <c r="C89" s="5"/>
      <c r="I89" s="5"/>
    </row>
    <row r="90" spans="1:9" x14ac:dyDescent="0.45">
      <c r="A90" s="25"/>
      <c r="B90" s="5" t="s">
        <v>252</v>
      </c>
      <c r="C90" s="40">
        <f>MAX(B91:B96)</f>
        <v>0</v>
      </c>
      <c r="I90" s="5"/>
    </row>
    <row r="91" spans="1:9" x14ac:dyDescent="0.45">
      <c r="A91" s="25"/>
      <c r="B91" s="5">
        <f>IF(C81&lt;12450,0+(C81)*0.19,"")</f>
        <v>0</v>
      </c>
      <c r="C91" s="5"/>
      <c r="I91" s="5"/>
    </row>
    <row r="92" spans="1:9" x14ac:dyDescent="0.45">
      <c r="A92" s="25"/>
      <c r="B92" s="5" t="str">
        <f>IF(AND(C81&gt;=12450,C81&lt;20200),2365.5+(C81-12450)*0.24,"")</f>
        <v/>
      </c>
      <c r="C92" s="5"/>
      <c r="I92" s="5"/>
    </row>
    <row r="93" spans="1:9" x14ac:dyDescent="0.45">
      <c r="A93" s="25"/>
      <c r="B93" s="5" t="str">
        <f>IF(AND(C81&gt;=20200,C81&lt;35200),4225.5+(C81-20200)*0.3,"")</f>
        <v/>
      </c>
      <c r="C93" s="5"/>
      <c r="I93" s="5"/>
    </row>
    <row r="94" spans="1:9" x14ac:dyDescent="0.45">
      <c r="A94" s="25"/>
      <c r="B94" s="5" t="str">
        <f>IF(AND(C81&gt;=35200,C81&lt;60000),8725.5+(C81-35200)*0.37,"")</f>
        <v/>
      </c>
      <c r="C94" s="5"/>
      <c r="I94" s="5"/>
    </row>
    <row r="95" spans="1:9" x14ac:dyDescent="0.45">
      <c r="A95" s="25"/>
      <c r="B95" s="5" t="str">
        <f>IF(AND(C81&gt;=60000,C81&lt;300000),17901.5+(C81-60000)*0.45,"")</f>
        <v/>
      </c>
      <c r="C95" s="5"/>
    </row>
    <row r="96" spans="1:9" x14ac:dyDescent="0.45">
      <c r="B96" s="5" t="str">
        <f>IF(C81&gt;300000,125901.5+(C81-300000)*0.47,"")</f>
        <v/>
      </c>
      <c r="C96" s="5"/>
    </row>
    <row r="97" spans="2:3" x14ac:dyDescent="0.45">
      <c r="B97" s="5" t="s">
        <v>254</v>
      </c>
      <c r="C97" s="39">
        <f>IF(AND(C34&gt;0,L48-C34&gt;0),C90+C82,C107)</f>
        <v>9281.1955999999991</v>
      </c>
    </row>
    <row r="98" spans="2:3" x14ac:dyDescent="0.45">
      <c r="B98" s="5" t="s">
        <v>255</v>
      </c>
      <c r="C98" s="40">
        <f>IF(AND(C34&gt;0,L48-C34&gt;0),L47+1980,L47)</f>
        <v>16100</v>
      </c>
    </row>
    <row r="99" spans="2:3" x14ac:dyDescent="0.45">
      <c r="B99" s="5" t="s">
        <v>256</v>
      </c>
      <c r="C99" s="40">
        <f>MAX(B100:B105)</f>
        <v>3241.5</v>
      </c>
    </row>
    <row r="100" spans="2:3" x14ac:dyDescent="0.45">
      <c r="B100" s="5" t="str">
        <f>IF(C98&lt;12450,0+(C98)*0.19,"")</f>
        <v/>
      </c>
      <c r="C100" s="5"/>
    </row>
    <row r="101" spans="2:3" x14ac:dyDescent="0.45">
      <c r="B101" s="5">
        <f>IF(AND(C98&gt;=12450,C98&lt;20200),2365.5+(C98-12450)*0.24,"")</f>
        <v>3241.5</v>
      </c>
      <c r="C101" s="5"/>
    </row>
    <row r="102" spans="2:3" x14ac:dyDescent="0.45">
      <c r="B102" s="5" t="str">
        <f>IF(AND(C98&gt;=20200,C98&lt;35200),4225.5+(C98-20200)*0.3,"")</f>
        <v/>
      </c>
      <c r="C102" s="5"/>
    </row>
    <row r="103" spans="2:3" x14ac:dyDescent="0.45">
      <c r="B103" s="5" t="str">
        <f>IF(AND(C98&gt;=35200,C98&lt;60000),8725.5+(C98-35200)*0.37,"")</f>
        <v/>
      </c>
      <c r="C103" s="5"/>
    </row>
    <row r="104" spans="2:3" x14ac:dyDescent="0.45">
      <c r="B104" s="5" t="str">
        <f>IF(AND(C98&gt;=60000,C98&lt;300000),17901.5+(C98-60000)*0.45,"")</f>
        <v/>
      </c>
      <c r="C104" s="5"/>
    </row>
    <row r="105" spans="2:3" x14ac:dyDescent="0.45">
      <c r="B105" s="5" t="str">
        <f>IF(C98&gt;300000,125901.5+(C98-300000)*0.47,"")</f>
        <v/>
      </c>
      <c r="C105" s="5"/>
    </row>
    <row r="106" spans="2:3" x14ac:dyDescent="0.45">
      <c r="B106" s="5" t="s">
        <v>257</v>
      </c>
      <c r="C106" s="41">
        <f>IF(C97&gt;C99,C97-C99,L59)</f>
        <v>6039.6955999999991</v>
      </c>
    </row>
    <row r="107" spans="2:3" x14ac:dyDescent="0.45">
      <c r="B107" s="5" t="s">
        <v>258</v>
      </c>
      <c r="C107" s="40">
        <f>MAX(B108:B114)</f>
        <v>9281.1955999999991</v>
      </c>
    </row>
    <row r="108" spans="2:3" x14ac:dyDescent="0.45">
      <c r="B108" s="5" t="str">
        <f>IF(L48&lt;12450,0+(L48)*0.19,"")</f>
        <v/>
      </c>
      <c r="C108" s="5"/>
    </row>
    <row r="109" spans="2:3" x14ac:dyDescent="0.45">
      <c r="B109" s="5" t="str">
        <f>IF(AND(L48&gt;=12450,L48&lt;20200),2365.5+(L48-12450)*0.24,"")</f>
        <v/>
      </c>
      <c r="C109" s="5"/>
    </row>
    <row r="110" spans="2:3" x14ac:dyDescent="0.45">
      <c r="B110" s="5" t="str">
        <f>IF(AND(L48&gt;=20200,L48&lt;35200),4225.5+(L48-20200)*0.3,"")</f>
        <v/>
      </c>
      <c r="C110" s="5"/>
    </row>
    <row r="111" spans="2:3" x14ac:dyDescent="0.45">
      <c r="B111" s="5">
        <f>IF(AND(L48&gt;=35200,L48&lt;60000),8725.5+(L48-35200)*0.37,"")</f>
        <v>9281.1955999999991</v>
      </c>
      <c r="C111" s="5"/>
    </row>
    <row r="112" spans="2:3" x14ac:dyDescent="0.45">
      <c r="B112" s="5" t="str">
        <f>IF(AND(L48&gt;=60000,L48&lt;300000),17901.5+(L48-60000)*0.45,"")</f>
        <v/>
      </c>
      <c r="C112" s="5"/>
    </row>
    <row r="113" spans="2:3" x14ac:dyDescent="0.45">
      <c r="B113" s="5" t="str">
        <f>IF(L48&gt;300000,125901.5+(L48-300000)*0.47,"")</f>
        <v/>
      </c>
      <c r="C113" s="5"/>
    </row>
    <row r="114" spans="2:3" x14ac:dyDescent="0.45">
      <c r="B114" s="5"/>
      <c r="C114" s="5"/>
    </row>
    <row r="115" spans="2:3" x14ac:dyDescent="0.45">
      <c r="B115" s="5"/>
      <c r="C115" s="5"/>
    </row>
    <row r="116" spans="2:3" x14ac:dyDescent="0.45">
      <c r="B116" s="5" t="s">
        <v>259</v>
      </c>
      <c r="C116" s="5"/>
    </row>
    <row r="117" spans="2:3" x14ac:dyDescent="0.45">
      <c r="B117" s="5" t="s">
        <v>261</v>
      </c>
      <c r="C117" s="5"/>
    </row>
    <row r="118" spans="2:3" x14ac:dyDescent="0.45">
      <c r="B118" s="5" t="s">
        <v>260</v>
      </c>
      <c r="C118" s="5"/>
    </row>
    <row r="119" spans="2:3" x14ac:dyDescent="0.45">
      <c r="B119" s="5">
        <f>IF(AND(L35&lt;=35200,C68=1,C35=1),(L35-(17270+C118+C119))*0.43,0)</f>
        <v>0</v>
      </c>
      <c r="C119" s="5"/>
    </row>
    <row r="120" spans="2:3" x14ac:dyDescent="0.45">
      <c r="B120" s="5">
        <f>IF(AND(L35&lt;=35200,C68=1,C35&gt;1),(L35-(18617+C118+C119))*0.43,0)</f>
        <v>0</v>
      </c>
      <c r="C120" s="5"/>
    </row>
    <row r="121" spans="2:3" x14ac:dyDescent="0.45">
      <c r="B121" s="5">
        <f>IF(AND(L35&lt;=35200,C68=2,C35=0),(L35-(16696+C118+C119))*0.43,0)</f>
        <v>0</v>
      </c>
      <c r="C121" s="5"/>
    </row>
    <row r="122" spans="2:3" x14ac:dyDescent="0.45">
      <c r="B122" s="5">
        <f>IF(AND(L35&lt;=35200,C68=2,C35=1),(L35-(17894+C118+C119))*0.43,0)</f>
        <v>0</v>
      </c>
      <c r="C122" s="5"/>
    </row>
    <row r="123" spans="2:3" x14ac:dyDescent="0.45">
      <c r="B123" s="5">
        <f>IF(AND(L35&lt;=35200,C68=2,C35&gt;1),(L35-(19241+C118+C119))*0.43,0)</f>
        <v>0</v>
      </c>
      <c r="C123" s="5"/>
    </row>
    <row r="124" spans="2:3" x14ac:dyDescent="0.45">
      <c r="B124" s="5">
        <f>IF(AND(L35&lt;=35200,C68=3,C35=0),(L35-(15000+C118+C119))*0.43,0)</f>
        <v>0</v>
      </c>
      <c r="C124" s="5"/>
    </row>
    <row r="125" spans="2:3" x14ac:dyDescent="0.45">
      <c r="B125" s="5">
        <f>IF(AND(L35&lt;=35200,C68=3,C35=1),(L35-(15599+C118+C119))*0.43,0)</f>
        <v>0</v>
      </c>
      <c r="C125" s="5"/>
    </row>
    <row r="126" spans="2:3" x14ac:dyDescent="0.45">
      <c r="B126" s="5">
        <f>IF(AND(L35&lt;=35200,C68=3,C35&gt;1),(L35-(16272+C118+C119))*0.43,0)</f>
        <v>0</v>
      </c>
      <c r="C126" s="5"/>
    </row>
    <row r="127" spans="2:3" x14ac:dyDescent="0.45">
      <c r="B127" s="5" t="s">
        <v>263</v>
      </c>
      <c r="C127" s="5" t="str">
        <f>IF(MAX(B119:B126)&gt;0,"Sí","No")</f>
        <v>No</v>
      </c>
    </row>
    <row r="128" spans="2:3" x14ac:dyDescent="0.45">
      <c r="B128" s="5" t="s">
        <v>264</v>
      </c>
      <c r="C128" s="5">
        <f>MAX(B119:B126)</f>
        <v>0</v>
      </c>
    </row>
    <row r="129" spans="2:3" x14ac:dyDescent="0.45">
      <c r="B129" s="5" t="s">
        <v>262</v>
      </c>
      <c r="C129" s="41">
        <f>IF(C127="No",C106,IF(C106&gt;C128,C128,C106))</f>
        <v>6039.6955999999991</v>
      </c>
    </row>
    <row r="130" spans="2:3" x14ac:dyDescent="0.45">
      <c r="B130" s="5"/>
      <c r="C130" s="5"/>
    </row>
    <row r="131" spans="2:3" x14ac:dyDescent="0.45">
      <c r="B131" s="5"/>
      <c r="C131" s="5"/>
    </row>
    <row r="132" spans="2:3" x14ac:dyDescent="0.45">
      <c r="B132" s="5"/>
      <c r="C132" s="5"/>
    </row>
    <row r="133" spans="2:3" x14ac:dyDescent="0.45">
      <c r="B133" s="5"/>
      <c r="C133" s="5"/>
    </row>
    <row r="134" spans="2:3" x14ac:dyDescent="0.45">
      <c r="B134" s="5"/>
      <c r="C134" s="5"/>
    </row>
    <row r="135" spans="2:3" x14ac:dyDescent="0.45">
      <c r="B135" s="5"/>
      <c r="C135" s="5"/>
    </row>
    <row r="136" spans="2:3" x14ac:dyDescent="0.45">
      <c r="B136" s="5"/>
      <c r="C136" s="5"/>
    </row>
    <row r="137" spans="2:3" x14ac:dyDescent="0.45">
      <c r="B137" s="5"/>
      <c r="C137" s="5"/>
    </row>
  </sheetData>
  <sheetProtection algorithmName="SHA-512" hashValue="7OqP2iDL+1pDoTLbDEZmxcSmPYXSU8bSBrzDn3PWSgTCGocgxMw1+/G0oxENXBuXHX4+cVlPYVlc3w5XhzQVEw==" saltValue="DB55RZBHzjUTq8AmZLP31w==" spinCount="100000" sheet="1" objects="1" scenarios="1"/>
  <mergeCells count="12">
    <mergeCell ref="M4:M5"/>
    <mergeCell ref="B28:C28"/>
    <mergeCell ref="B69:C69"/>
    <mergeCell ref="B3:C3"/>
    <mergeCell ref="J3:K3"/>
    <mergeCell ref="J4:K5"/>
    <mergeCell ref="L4:L5"/>
    <mergeCell ref="B31:C31"/>
    <mergeCell ref="B41:B43"/>
    <mergeCell ref="C41:C43"/>
    <mergeCell ref="B44:B46"/>
    <mergeCell ref="C44:C46"/>
  </mergeCells>
  <dataValidations count="18">
    <dataValidation type="list" allowBlank="1" showInputMessage="1" showErrorMessage="1" sqref="C11">
      <formula1>$D$5:$D$6</formula1>
    </dataValidation>
    <dataValidation type="whole" allowBlank="1" showInputMessage="1" showErrorMessage="1" sqref="C6:C10">
      <formula1>0</formula1>
      <formula2>14</formula2>
    </dataValidation>
    <dataValidation type="whole" allowBlank="1" showInputMessage="1" showErrorMessage="1" sqref="C12">
      <formula1>0</formula1>
      <formula2>5</formula2>
    </dataValidation>
    <dataValidation type="decimal" allowBlank="1" showInputMessage="1" showErrorMessage="1" sqref="C4:C5">
      <formula1>0</formula1>
      <formula2>100</formula2>
    </dataValidation>
    <dataValidation type="list" allowBlank="1" showInputMessage="1" showErrorMessage="1" sqref="C13">
      <formula1>$D$13:$D$20</formula1>
    </dataValidation>
    <dataValidation type="list" allowBlank="1" showInputMessage="1" showErrorMessage="1" sqref="C14">
      <formula1>$F$13:$F$18</formula1>
    </dataValidation>
    <dataValidation type="list" allowBlank="1" showInputMessage="1" showErrorMessage="1" sqref="C26 C47 C61 C56 C15:C24 C51 C39 C37 C32 C66">
      <formula1>$H$13:$H$14</formula1>
    </dataValidation>
    <dataValidation type="whole" allowBlank="1" showInputMessage="1" showErrorMessage="1" sqref="C25">
      <formula1>0</formula1>
      <formula2>30</formula2>
    </dataValidation>
    <dataValidation type="whole" allowBlank="1" showInputMessage="1" showErrorMessage="1" sqref="C27">
      <formula1>0</formula1>
      <formula2>10000</formula2>
    </dataValidation>
    <dataValidation type="whole" allowBlank="1" showInputMessage="1" showErrorMessage="1" sqref="C30">
      <formula1>1980</formula1>
      <formula2>2023</formula2>
    </dataValidation>
    <dataValidation type="list" allowBlank="1" showInputMessage="1" showErrorMessage="1" sqref="C29">
      <formula1>$A$35:$A$37</formula1>
    </dataValidation>
    <dataValidation type="whole" allowBlank="1" showInputMessage="1" showErrorMessage="1" sqref="C35">
      <formula1>0</formula1>
      <formula2>100</formula2>
    </dataValidation>
    <dataValidation type="whole" allowBlank="1" showInputMessage="1" showErrorMessage="1" sqref="C36 C40:C41">
      <formula1>0</formula1>
      <formula2>C35</formula2>
    </dataValidation>
    <dataValidation type="whole" allowBlank="1" showInputMessage="1" showErrorMessage="1" sqref="C49 C59 C54 C64">
      <formula1>18</formula1>
      <formula2>130</formula2>
    </dataValidation>
    <dataValidation type="whole" allowBlank="1" showInputMessage="1" showErrorMessage="1" sqref="C52 C62 C57 C67">
      <formula1>0</formula1>
      <formula2>20</formula2>
    </dataValidation>
    <dataValidation type="whole" allowBlank="1" showInputMessage="1" showErrorMessage="1" sqref="C44">
      <formula1>0</formula1>
      <formula2>C40</formula2>
    </dataValidation>
    <dataValidation type="list" allowBlank="1" showInputMessage="1" showErrorMessage="1" sqref="C38 C55 C50 C60 C65">
      <formula1>$A$38:$A$42</formula1>
    </dataValidation>
    <dataValidation type="list" allowBlank="1" showInputMessage="1" showErrorMessage="1" sqref="B69">
      <formula1>$A$68:$A$70</formula1>
    </dataValidation>
  </dataValidations>
  <hyperlinks>
    <hyperlink ref="B2" location="Inicio!A1" display="Ir a inicio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7"/>
  <sheetViews>
    <sheetView showRowColHeaders="0" zoomScaleNormal="100" workbookViewId="0">
      <selection activeCell="B2" sqref="B2"/>
    </sheetView>
  </sheetViews>
  <sheetFormatPr baseColWidth="10" defaultRowHeight="14.25" x14ac:dyDescent="0.45"/>
  <cols>
    <col min="1" max="1" width="0.53125" style="4" customWidth="1"/>
    <col min="2" max="2" width="55.86328125" style="4" customWidth="1"/>
    <col min="3" max="3" width="26.19921875" style="4" customWidth="1"/>
    <col min="4" max="4" width="2.265625" style="24" customWidth="1"/>
    <col min="5" max="5" width="1" style="24" customWidth="1"/>
    <col min="6" max="6" width="0.796875" style="24" hidden="1" customWidth="1"/>
    <col min="7" max="7" width="6.640625E-2" style="24" hidden="1" customWidth="1"/>
    <col min="8" max="8" width="6.19921875" style="24" hidden="1" customWidth="1"/>
    <col min="9" max="9" width="1.1328125" style="4" customWidth="1"/>
    <col min="10" max="10" width="10.6640625" style="4"/>
    <col min="11" max="11" width="41.33203125" style="4" customWidth="1"/>
    <col min="12" max="12" width="17.73046875" style="4" customWidth="1"/>
    <col min="13" max="13" width="17.9296875" style="4" customWidth="1"/>
    <col min="14" max="14" width="5.3984375" style="4" customWidth="1"/>
    <col min="15" max="15" width="4.73046875" style="4" customWidth="1"/>
    <col min="16" max="16384" width="10.6640625" style="4"/>
  </cols>
  <sheetData>
    <row r="1" spans="1:29" ht="118.5" customHeight="1" thickBot="1" x14ac:dyDescent="0.5">
      <c r="O1"/>
    </row>
    <row r="2" spans="1:29" ht="19.149999999999999" customHeight="1" thickBot="1" x14ac:dyDescent="0.5">
      <c r="B2" s="96" t="s">
        <v>293</v>
      </c>
      <c r="L2" s="33" t="s">
        <v>241</v>
      </c>
      <c r="M2" s="34" t="s">
        <v>172</v>
      </c>
      <c r="Q2" s="24"/>
      <c r="R2" s="24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8.25" customHeight="1" thickBot="1" x14ac:dyDescent="0.7">
      <c r="B3" s="158" t="s">
        <v>240</v>
      </c>
      <c r="C3" s="159"/>
      <c r="J3" s="160" t="s">
        <v>227</v>
      </c>
      <c r="K3" s="161"/>
      <c r="L3" s="84">
        <f>L4-SUM(L27:L31)</f>
        <v>2184.4005257547096</v>
      </c>
      <c r="M3" s="84">
        <f>M4-SUM(M27:M31)</f>
        <v>1972.6832274717403</v>
      </c>
      <c r="Q3" s="24"/>
      <c r="R3" s="24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8.399999999999999" customHeight="1" thickBot="1" x14ac:dyDescent="0.5">
      <c r="A4" s="24"/>
      <c r="B4" s="26" t="s">
        <v>274</v>
      </c>
      <c r="C4" s="49">
        <v>100</v>
      </c>
      <c r="D4" s="50" t="s">
        <v>140</v>
      </c>
      <c r="J4" s="162" t="s">
        <v>121</v>
      </c>
      <c r="K4" s="163"/>
      <c r="L4" s="152">
        <f>SUM(L6:L25)</f>
        <v>2835.58</v>
      </c>
      <c r="M4" s="152">
        <f>SUM(M6:M25)</f>
        <v>2337.46</v>
      </c>
      <c r="Q4" s="24"/>
      <c r="R4" s="24"/>
      <c r="S4" s="5"/>
      <c r="T4" s="5" t="s">
        <v>122</v>
      </c>
      <c r="U4" s="5"/>
      <c r="V4" s="5">
        <f>$C$6*Datos!G15</f>
        <v>0</v>
      </c>
      <c r="W4" s="5">
        <f>$C$6*Datos!G16</f>
        <v>0</v>
      </c>
      <c r="X4" s="5"/>
      <c r="Y4" s="5"/>
      <c r="Z4" s="5"/>
      <c r="AA4" s="5"/>
      <c r="AB4" s="5"/>
      <c r="AC4" s="5"/>
    </row>
    <row r="5" spans="1:29" ht="18.399999999999999" customHeight="1" thickBot="1" x14ac:dyDescent="0.5">
      <c r="A5" s="24"/>
      <c r="B5" s="26" t="s">
        <v>163</v>
      </c>
      <c r="C5" s="48"/>
      <c r="D5" s="5" t="s">
        <v>285</v>
      </c>
      <c r="E5" s="5"/>
      <c r="F5" s="5"/>
      <c r="G5" s="5"/>
      <c r="H5" s="5"/>
      <c r="I5" s="5"/>
      <c r="J5" s="164"/>
      <c r="K5" s="165"/>
      <c r="L5" s="153"/>
      <c r="M5" s="153"/>
      <c r="Q5" s="24"/>
      <c r="R5" s="24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x14ac:dyDescent="0.45">
      <c r="A6" s="24"/>
      <c r="B6" s="6" t="str">
        <f>T4</f>
        <v>Trienios A1</v>
      </c>
      <c r="C6" s="17">
        <v>0</v>
      </c>
      <c r="D6" s="5" t="s">
        <v>288</v>
      </c>
      <c r="E6" s="5"/>
      <c r="F6" s="5"/>
      <c r="G6" s="5"/>
      <c r="H6" s="5"/>
      <c r="I6" s="5"/>
      <c r="J6" s="63" t="s">
        <v>118</v>
      </c>
      <c r="K6" s="67"/>
      <c r="L6" s="59">
        <f>ROUND((C4/100)*Datos!G4,2)</f>
        <v>1300.8800000000001</v>
      </c>
      <c r="M6" s="59">
        <f>ROUND((C4/100)*Datos!G5,2)</f>
        <v>802.76</v>
      </c>
      <c r="Q6" s="24"/>
      <c r="R6" s="24"/>
      <c r="S6" s="5"/>
      <c r="T6" s="5" t="s">
        <v>123</v>
      </c>
      <c r="U6" s="5"/>
      <c r="V6" s="5">
        <f>$C$7*Datos!G17</f>
        <v>0</v>
      </c>
      <c r="W6" s="5">
        <f>$C$7*Datos!G18</f>
        <v>0</v>
      </c>
      <c r="X6" s="5"/>
      <c r="Y6" s="5"/>
      <c r="Z6" s="5"/>
      <c r="AA6" s="5"/>
      <c r="AB6" s="5"/>
      <c r="AC6" s="5"/>
    </row>
    <row r="7" spans="1:29" x14ac:dyDescent="0.45">
      <c r="A7" s="24"/>
      <c r="B7" s="8" t="str">
        <f t="shared" ref="B7:B10" si="0">T6</f>
        <v>Trienios A2</v>
      </c>
      <c r="C7" s="18">
        <v>0</v>
      </c>
      <c r="D7" s="5"/>
      <c r="E7" s="5"/>
      <c r="F7" s="5"/>
      <c r="G7" s="5"/>
      <c r="H7" s="5"/>
      <c r="I7" s="5"/>
      <c r="J7" s="42" t="s">
        <v>119</v>
      </c>
      <c r="K7"/>
      <c r="L7" s="60">
        <f>ROUND(($C$4/100)*Datos!G9,2)</f>
        <v>683.75</v>
      </c>
      <c r="M7" s="60">
        <f>L7</f>
        <v>683.75</v>
      </c>
      <c r="Q7" s="24"/>
      <c r="R7" s="24"/>
      <c r="S7" s="5"/>
      <c r="T7" s="5" t="s">
        <v>124</v>
      </c>
      <c r="U7" s="5"/>
      <c r="V7" s="5">
        <f>$C$8*Datos!G19</f>
        <v>0</v>
      </c>
      <c r="W7" s="5">
        <f>$C$8*Datos!G20</f>
        <v>0</v>
      </c>
      <c r="X7" s="5"/>
      <c r="Y7" s="5"/>
      <c r="Z7" s="5"/>
      <c r="AA7" s="5"/>
      <c r="AB7" s="5"/>
      <c r="AC7" s="5"/>
    </row>
    <row r="8" spans="1:29" x14ac:dyDescent="0.45">
      <c r="A8" s="24"/>
      <c r="B8" s="8" t="str">
        <f t="shared" si="0"/>
        <v>Trienios C1</v>
      </c>
      <c r="C8" s="18">
        <v>0</v>
      </c>
      <c r="D8" s="5"/>
      <c r="E8" s="5"/>
      <c r="F8" s="5"/>
      <c r="G8" s="5"/>
      <c r="H8" s="5"/>
      <c r="I8" s="5"/>
      <c r="J8" s="42" t="s">
        <v>120</v>
      </c>
      <c r="K8" s="68"/>
      <c r="L8" s="60">
        <f>ROUND(($C$4/100)*Datos!G13,2)</f>
        <v>850.95</v>
      </c>
      <c r="M8" s="60">
        <f>L8</f>
        <v>850.95</v>
      </c>
      <c r="Q8" s="24"/>
      <c r="R8" s="24"/>
      <c r="S8" s="5"/>
      <c r="T8" s="5" t="s">
        <v>125</v>
      </c>
      <c r="U8" s="5"/>
      <c r="V8" s="5">
        <f>$C$9*Datos!G21</f>
        <v>0</v>
      </c>
      <c r="W8" s="5">
        <f>$C$9*Datos!G22</f>
        <v>0</v>
      </c>
      <c r="X8" s="5"/>
      <c r="Y8" s="5"/>
      <c r="Z8" s="5"/>
      <c r="AA8" s="5"/>
      <c r="AB8" s="5"/>
      <c r="AC8" s="5"/>
    </row>
    <row r="9" spans="1:29" x14ac:dyDescent="0.45">
      <c r="A9" s="24"/>
      <c r="B9" s="8" t="str">
        <f t="shared" si="0"/>
        <v>Trienios C2</v>
      </c>
      <c r="C9" s="18">
        <v>0</v>
      </c>
      <c r="D9" s="5"/>
      <c r="E9" s="5"/>
      <c r="F9" s="5"/>
      <c r="G9" s="5"/>
      <c r="H9" s="5"/>
      <c r="I9" s="5"/>
      <c r="J9" s="42" t="s">
        <v>126</v>
      </c>
      <c r="K9" s="68"/>
      <c r="L9" s="60">
        <f>IF(SUM(C6:C10)&gt;0,ROUND(V12*C4/100,2),0)</f>
        <v>0</v>
      </c>
      <c r="M9" s="60">
        <f>W12</f>
        <v>0</v>
      </c>
      <c r="Q9" s="24"/>
      <c r="R9" s="24"/>
      <c r="S9" s="5"/>
      <c r="T9" s="5" t="s">
        <v>127</v>
      </c>
      <c r="U9" s="5"/>
      <c r="V9" s="5">
        <f>$C$10*Datos!G23</f>
        <v>0</v>
      </c>
      <c r="W9" s="5">
        <f>$C$10*Datos!G24</f>
        <v>0</v>
      </c>
      <c r="X9" s="5"/>
      <c r="Y9" s="5"/>
      <c r="Z9" s="5"/>
      <c r="AA9" s="5"/>
      <c r="AB9" s="5"/>
      <c r="AC9" s="5"/>
    </row>
    <row r="10" spans="1:29" ht="14.75" customHeight="1" thickBot="1" x14ac:dyDescent="0.5">
      <c r="A10" s="24"/>
      <c r="B10" s="12" t="str">
        <f t="shared" si="0"/>
        <v>Trienios agrupaciones especiales</v>
      </c>
      <c r="C10" s="19">
        <v>0</v>
      </c>
      <c r="D10" s="5"/>
      <c r="E10" s="5"/>
      <c r="F10" s="5"/>
      <c r="G10" s="5"/>
      <c r="H10" s="5"/>
      <c r="I10" s="5"/>
      <c r="J10" s="42" t="s">
        <v>153</v>
      </c>
      <c r="K10" s="68"/>
      <c r="L10" s="60">
        <f>IF(C12&gt;0,ROUND(N13*C4/100,2),0)</f>
        <v>0</v>
      </c>
      <c r="M10" s="60">
        <f>L10</f>
        <v>0</v>
      </c>
      <c r="Q10" s="24"/>
      <c r="R10" s="24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4.75" customHeight="1" thickBot="1" x14ac:dyDescent="0.5">
      <c r="A11" s="5"/>
      <c r="B11" s="133" t="s">
        <v>284</v>
      </c>
      <c r="C11" s="134" t="s">
        <v>285</v>
      </c>
      <c r="D11" s="5"/>
      <c r="E11" s="5"/>
      <c r="F11" s="5"/>
      <c r="G11" s="5"/>
      <c r="H11" s="5"/>
      <c r="I11" s="5"/>
      <c r="J11" s="42" t="s">
        <v>24</v>
      </c>
      <c r="K11" s="68"/>
      <c r="L11" s="60">
        <f>IF(C13=D14,ROUND(C4*MAX(E27:E32,G27:G32)/100,2),0)</f>
        <v>0</v>
      </c>
      <c r="M11" s="60">
        <f t="shared" ref="M11:M25" si="1">L11</f>
        <v>0</v>
      </c>
      <c r="Q11" s="24"/>
      <c r="R11" s="24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4.75" customHeight="1" thickBot="1" x14ac:dyDescent="0.5">
      <c r="A12" s="5"/>
      <c r="B12" s="27" t="s">
        <v>129</v>
      </c>
      <c r="C12" s="20">
        <v>0</v>
      </c>
      <c r="D12" s="5" t="str">
        <f>IF(OR(C13=D14,C13=D18,C13=D19,C13=D20),D14,"")</f>
        <v/>
      </c>
      <c r="E12" s="5"/>
      <c r="F12" s="5"/>
      <c r="G12" s="5"/>
      <c r="H12" s="5"/>
      <c r="I12" s="5"/>
      <c r="J12" s="42" t="s">
        <v>39</v>
      </c>
      <c r="K12" s="68"/>
      <c r="L12" s="60">
        <f>IF(C13=D16,ROUND(C4*MAX(F27:F31,H27:H31)/100,2),0)</f>
        <v>0</v>
      </c>
      <c r="M12" s="60">
        <f t="shared" si="1"/>
        <v>0</v>
      </c>
      <c r="Q12" s="24"/>
      <c r="R12" s="24"/>
      <c r="S12" s="5"/>
      <c r="T12" s="5" t="s">
        <v>128</v>
      </c>
      <c r="U12" s="5"/>
      <c r="V12" s="5">
        <f>SUM(V4:V9)</f>
        <v>0</v>
      </c>
      <c r="W12" s="5">
        <f>SUM(W4:W9)</f>
        <v>0</v>
      </c>
      <c r="X12" s="5"/>
      <c r="Y12" s="5"/>
      <c r="Z12" s="5"/>
      <c r="AA12" s="5"/>
      <c r="AB12" s="5"/>
      <c r="AC12" s="5"/>
    </row>
    <row r="13" spans="1:29" ht="14.75" customHeight="1" thickBot="1" x14ac:dyDescent="0.5">
      <c r="A13" s="5"/>
      <c r="B13" s="27" t="s">
        <v>280</v>
      </c>
      <c r="C13" s="20" t="s">
        <v>141</v>
      </c>
      <c r="D13" s="5" t="s">
        <v>141</v>
      </c>
      <c r="E13" s="5"/>
      <c r="F13" s="5" t="s">
        <v>27</v>
      </c>
      <c r="G13" s="5" t="s">
        <v>136</v>
      </c>
      <c r="H13" s="5" t="s">
        <v>143</v>
      </c>
      <c r="I13" s="5"/>
      <c r="J13" s="42" t="s">
        <v>40</v>
      </c>
      <c r="K13" s="68"/>
      <c r="L13" s="99">
        <f>IF(C13=D15,ROUND(C4*MAX(F27:F31,H27:H31)/100,2),0)</f>
        <v>0</v>
      </c>
      <c r="M13" s="60">
        <f t="shared" si="1"/>
        <v>0</v>
      </c>
      <c r="N13" s="5">
        <f>IF(C12=1,Datos!J26,IF(C12=2,Datos!J27,IF(C12=3,Datos!J28,IF(C12=4,Datos!J29,IF(C12=5,Datos!J30,0)))))</f>
        <v>0</v>
      </c>
      <c r="Q13" s="24"/>
      <c r="R13" s="24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4.75" customHeight="1" thickBot="1" x14ac:dyDescent="0.5">
      <c r="A14" s="5"/>
      <c r="B14" s="27" t="s">
        <v>130</v>
      </c>
      <c r="C14" s="20"/>
      <c r="D14" s="5" t="s">
        <v>132</v>
      </c>
      <c r="E14" s="5"/>
      <c r="F14" s="5" t="s">
        <v>28</v>
      </c>
      <c r="G14" s="5" t="s">
        <v>137</v>
      </c>
      <c r="H14" s="5" t="s">
        <v>144</v>
      </c>
      <c r="I14" s="5"/>
      <c r="J14" s="42" t="s">
        <v>154</v>
      </c>
      <c r="K14" s="68"/>
      <c r="L14" s="60">
        <f>IF(C13=D17,ROUND(Datos!G77*'Profesores Conservatorios'!C4/100,2),0)</f>
        <v>0</v>
      </c>
      <c r="M14" s="60">
        <f t="shared" si="1"/>
        <v>0</v>
      </c>
      <c r="Q14" s="24"/>
      <c r="R14" s="24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4.75" customHeight="1" thickBot="1" x14ac:dyDescent="0.5">
      <c r="A15" s="5"/>
      <c r="B15" s="27" t="s">
        <v>53</v>
      </c>
      <c r="C15" s="20" t="s">
        <v>144</v>
      </c>
      <c r="D15" s="5" t="s">
        <v>133</v>
      </c>
      <c r="E15" s="5"/>
      <c r="F15" s="5" t="s">
        <v>29</v>
      </c>
      <c r="G15" s="5" t="s">
        <v>138</v>
      </c>
      <c r="H15" s="5"/>
      <c r="I15" s="5"/>
      <c r="J15" s="42" t="s">
        <v>53</v>
      </c>
      <c r="K15" s="68"/>
      <c r="L15" s="60">
        <f>IF(C15="Sí",ROUND(Datos!G91*'Profesores Conservatorios'!C4/100,2),0)</f>
        <v>0</v>
      </c>
      <c r="M15" s="60">
        <f t="shared" si="1"/>
        <v>0</v>
      </c>
      <c r="Q15" s="24"/>
      <c r="R15" s="24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4.75" customHeight="1" x14ac:dyDescent="0.45">
      <c r="A16" s="5"/>
      <c r="B16" s="133" t="s">
        <v>50</v>
      </c>
      <c r="C16" s="135" t="s">
        <v>144</v>
      </c>
      <c r="D16" s="5" t="s">
        <v>134</v>
      </c>
      <c r="E16" s="5"/>
      <c r="F16" s="5" t="s">
        <v>30</v>
      </c>
      <c r="G16" s="5" t="s">
        <v>139</v>
      </c>
      <c r="H16" s="5" t="s">
        <v>144</v>
      </c>
      <c r="I16" s="5"/>
      <c r="J16" s="42" t="s">
        <v>279</v>
      </c>
      <c r="K16" s="69"/>
      <c r="L16" s="60">
        <f>IF(D21&gt;0,ROUND(C4*MAX(E27:E33,G27:G33)*D21/100,2),0)</f>
        <v>0</v>
      </c>
      <c r="M16" s="60">
        <f t="shared" si="1"/>
        <v>0</v>
      </c>
      <c r="Q16" s="24"/>
      <c r="R16" s="24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4.75" hidden="1" customHeight="1" thickBot="1" x14ac:dyDescent="0.5">
      <c r="A17" s="5"/>
      <c r="B17" s="103" t="s">
        <v>51</v>
      </c>
      <c r="C17" s="104" t="s">
        <v>144</v>
      </c>
      <c r="D17" s="5" t="s">
        <v>142</v>
      </c>
      <c r="E17" s="5"/>
      <c r="F17" s="5" t="s">
        <v>31</v>
      </c>
      <c r="G17" s="5"/>
      <c r="H17" s="5" t="s">
        <v>145</v>
      </c>
      <c r="I17" s="5"/>
      <c r="J17" s="42"/>
      <c r="K17" s="68"/>
      <c r="L17" s="60"/>
      <c r="M17" s="60">
        <f t="shared" si="1"/>
        <v>0</v>
      </c>
      <c r="Q17" s="24"/>
      <c r="R17" s="24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14.75" hidden="1" customHeight="1" thickBot="1" x14ac:dyDescent="0.5">
      <c r="A18" s="5"/>
      <c r="B18" s="103" t="s">
        <v>104</v>
      </c>
      <c r="C18" s="104" t="s">
        <v>144</v>
      </c>
      <c r="D18" s="5" t="s">
        <v>281</v>
      </c>
      <c r="E18" s="5"/>
      <c r="F18" s="5" t="s">
        <v>32</v>
      </c>
      <c r="G18" s="5"/>
      <c r="H18" s="5" t="s">
        <v>146</v>
      </c>
      <c r="I18" s="5"/>
      <c r="J18" s="42"/>
      <c r="K18" s="68"/>
      <c r="L18" s="60"/>
      <c r="M18" s="60">
        <f t="shared" si="1"/>
        <v>0</v>
      </c>
      <c r="Q18" s="24"/>
      <c r="R18" s="24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14.75" hidden="1" customHeight="1" thickBot="1" x14ac:dyDescent="0.5">
      <c r="A19" s="5"/>
      <c r="B19" s="103" t="s">
        <v>102</v>
      </c>
      <c r="C19" s="104" t="s">
        <v>144</v>
      </c>
      <c r="D19" s="5" t="s">
        <v>282</v>
      </c>
      <c r="E19" s="5"/>
      <c r="F19" s="5"/>
      <c r="G19" s="5"/>
      <c r="H19" s="5" t="s">
        <v>147</v>
      </c>
      <c r="I19" s="5"/>
      <c r="J19" s="42"/>
      <c r="K19" s="68"/>
      <c r="L19" s="60"/>
      <c r="M19" s="60">
        <f t="shared" si="1"/>
        <v>0</v>
      </c>
      <c r="Q19" s="24"/>
      <c r="R19" s="24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14.75" hidden="1" customHeight="1" thickBot="1" x14ac:dyDescent="0.5">
      <c r="A20" s="5"/>
      <c r="B20" s="103" t="s">
        <v>103</v>
      </c>
      <c r="C20" s="104" t="s">
        <v>144</v>
      </c>
      <c r="D20" s="5" t="s">
        <v>283</v>
      </c>
      <c r="E20" s="5"/>
      <c r="F20" s="5"/>
      <c r="G20" s="5"/>
      <c r="H20" s="5"/>
      <c r="I20" s="5"/>
      <c r="K20" s="68"/>
      <c r="L20" s="60">
        <f>IF(C15="Sí",ROUND(Datos!G91*'Profesores Conservatorios'!C4/100,2),0)</f>
        <v>0</v>
      </c>
      <c r="M20" s="60">
        <f t="shared" si="1"/>
        <v>0</v>
      </c>
      <c r="Q20" s="24"/>
      <c r="R20" s="24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14.75" hidden="1" customHeight="1" thickBot="1" x14ac:dyDescent="0.5">
      <c r="A21" s="5"/>
      <c r="B21" s="103" t="s">
        <v>54</v>
      </c>
      <c r="C21" s="104" t="s">
        <v>144</v>
      </c>
      <c r="D21" s="5">
        <f>IF(C13=D18,0.25,IF(C13=D19,0.4,IF(C13=D20,0.6,0)))</f>
        <v>0</v>
      </c>
      <c r="E21" s="5"/>
      <c r="F21" s="5"/>
      <c r="G21" s="5"/>
      <c r="H21" s="5"/>
      <c r="I21" s="5"/>
      <c r="J21" s="42" t="s">
        <v>276</v>
      </c>
      <c r="K21" s="68"/>
      <c r="L21" s="60">
        <f>IF(C22="Sí",ROUND(Datos!G97*'Profesores Conservatorios'!C4/100,2),0)</f>
        <v>0</v>
      </c>
      <c r="M21" s="60">
        <f t="shared" si="1"/>
        <v>0</v>
      </c>
      <c r="Q21" s="24"/>
      <c r="R21" s="24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14.75" hidden="1" customHeight="1" x14ac:dyDescent="0.45">
      <c r="A22" s="5"/>
      <c r="B22" s="103" t="s">
        <v>275</v>
      </c>
      <c r="C22" s="104" t="s">
        <v>144</v>
      </c>
      <c r="D22" s="5"/>
      <c r="E22" s="5"/>
      <c r="F22" s="5"/>
      <c r="G22" s="5"/>
      <c r="H22" s="5"/>
      <c r="I22" s="5"/>
      <c r="J22" s="42" t="s">
        <v>158</v>
      </c>
      <c r="K22" s="68"/>
      <c r="L22" s="60">
        <f>IF(C23="Sí",ROUND(C4*SUM(D23:D25)/100,2),0)</f>
        <v>0</v>
      </c>
      <c r="M22" s="60">
        <f>L22</f>
        <v>0</v>
      </c>
      <c r="Q22" s="24"/>
      <c r="R22" s="24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14.75" hidden="1" customHeight="1" x14ac:dyDescent="0.45">
      <c r="A23" s="5"/>
      <c r="B23" s="133" t="s">
        <v>150</v>
      </c>
      <c r="C23" s="135" t="s">
        <v>144</v>
      </c>
      <c r="D23" s="5">
        <f>IF(C23="No",0,Datos!G102)</f>
        <v>0</v>
      </c>
      <c r="E23" s="5"/>
      <c r="F23" s="5"/>
      <c r="G23" s="5"/>
      <c r="H23" s="5"/>
      <c r="I23" s="5"/>
      <c r="J23" s="42" t="s">
        <v>159</v>
      </c>
      <c r="K23" s="68"/>
      <c r="L23" s="60">
        <f>IF(C26="Sí",ROUND(C4*MIN(D27:D36)/100,2),0)</f>
        <v>0</v>
      </c>
      <c r="M23" s="60">
        <f>L23</f>
        <v>0</v>
      </c>
      <c r="Q23" s="24"/>
      <c r="R23" s="24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4.75" hidden="1" customHeight="1" x14ac:dyDescent="0.45">
      <c r="A24" s="5"/>
      <c r="B24" s="136" t="s">
        <v>148</v>
      </c>
      <c r="C24" s="135" t="s">
        <v>144</v>
      </c>
      <c r="D24" s="5">
        <f>IF(AND(C23="Sí",C24="Sí"),Datos!G103,0)</f>
        <v>0</v>
      </c>
      <c r="E24" s="5"/>
      <c r="F24" s="5"/>
      <c r="G24" s="5"/>
      <c r="H24" s="5"/>
      <c r="I24" s="5"/>
      <c r="L24" s="60">
        <f>IF(D21&gt;0,ROUND(C4*MAX(E27:E33,G27:G33)*D21/100,2),0)</f>
        <v>0</v>
      </c>
      <c r="M24" s="60">
        <f>L24</f>
        <v>0</v>
      </c>
      <c r="Q24" s="24"/>
      <c r="R24" s="24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14.75" hidden="1" customHeight="1" thickBot="1" x14ac:dyDescent="0.5">
      <c r="A25" s="5"/>
      <c r="B25" s="136" t="s">
        <v>149</v>
      </c>
      <c r="C25" s="135">
        <v>0</v>
      </c>
      <c r="D25" s="5">
        <f>IF(C23="Sí",C25*Datos!G104,0)</f>
        <v>0</v>
      </c>
      <c r="E25" s="5"/>
      <c r="F25" s="5"/>
      <c r="G25" s="5"/>
      <c r="H25" s="5"/>
      <c r="I25" s="5"/>
      <c r="J25" s="61" t="s">
        <v>289</v>
      </c>
      <c r="K25" s="70"/>
      <c r="L25" s="62">
        <f>IF(C21="Sí",ROUND(Datos!G92*C4/100,2),0)</f>
        <v>0</v>
      </c>
      <c r="M25" s="62">
        <f t="shared" si="1"/>
        <v>0</v>
      </c>
      <c r="Q25" s="24"/>
      <c r="R25" s="24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14.75" customHeight="1" x14ac:dyDescent="0.45">
      <c r="A26" s="5"/>
      <c r="B26" s="133" t="s">
        <v>151</v>
      </c>
      <c r="C26" s="135" t="s">
        <v>144</v>
      </c>
      <c r="D26" s="5"/>
      <c r="E26" s="5" t="s">
        <v>131</v>
      </c>
      <c r="F26" s="5" t="s">
        <v>160</v>
      </c>
      <c r="G26" s="5" t="s">
        <v>286</v>
      </c>
      <c r="H26" s="5" t="s">
        <v>287</v>
      </c>
      <c r="I26" s="5"/>
      <c r="J26" s="64" t="s">
        <v>168</v>
      </c>
      <c r="K26" s="65"/>
      <c r="L26" s="66"/>
      <c r="M26" s="65"/>
      <c r="Q26" s="24"/>
      <c r="R26" s="24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14.75" customHeight="1" x14ac:dyDescent="0.45">
      <c r="A27" s="5"/>
      <c r="B27" s="136" t="s">
        <v>152</v>
      </c>
      <c r="C27" s="135">
        <v>0</v>
      </c>
      <c r="D27" s="5">
        <f>IF($C$27&lt;=50,Datos!G107,"")</f>
        <v>16.559999999999999</v>
      </c>
      <c r="E27" s="5" t="str">
        <f>IF(AND(C11=D5,$D12=$D$14,$C$14=F13),Datos!G64,"")</f>
        <v/>
      </c>
      <c r="F27" s="5" t="str">
        <f>IF(AND(OR($C$13=$D$15,$C$13=$D$16),$C$14=F13,C11=D5),Datos!G68,"")</f>
        <v/>
      </c>
      <c r="G27" s="5" t="str">
        <f>IF(AND(C11=D6,$D12=$D$14,$C$14=F13),Datos!G32,"")</f>
        <v/>
      </c>
      <c r="H27" s="5" t="str">
        <f>IF(AND(OR($C$13=$D$15,$C$13=$D$16),$C$14=F13,C11=D6),Datos!G38,"")</f>
        <v/>
      </c>
      <c r="I27" s="5"/>
      <c r="J27" s="9" t="s">
        <v>237</v>
      </c>
      <c r="K27" s="46"/>
      <c r="L27" s="22">
        <f>IF(OR(C29="Funcionario/a de carrera",C29="Funcionario/a en prácticas"),51.68,0)</f>
        <v>0</v>
      </c>
      <c r="M27" s="56">
        <f>L27</f>
        <v>0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4.65" thickBot="1" x14ac:dyDescent="0.5">
      <c r="A28" s="5"/>
      <c r="B28" s="154" t="s">
        <v>239</v>
      </c>
      <c r="C28" s="155"/>
      <c r="D28" s="5">
        <f>IF($C$27&lt;=100,Datos!G108,"")</f>
        <v>33.119999999999997</v>
      </c>
      <c r="E28" s="5" t="str">
        <f>IF(AND(C11=D5,$D$12=$D$14,$C$14=F14),Datos!G65,"")</f>
        <v/>
      </c>
      <c r="F28" s="5" t="str">
        <f>IF(AND(OR($C$13=$D$15,$C$13=$D$16),$C$14=F14,C11=D5),Datos!G69,"")</f>
        <v/>
      </c>
      <c r="G28" s="5" t="str">
        <f>IF(AND(C11=D6,$D12=$D$14,$C$14=F14),Datos!G33,"")</f>
        <v/>
      </c>
      <c r="H28" s="5" t="str">
        <f>IF(AND(OR($C$13=$D$15,$C$13=$D$16),$C$14=F14,C11=D6),Datos!G39,"")</f>
        <v/>
      </c>
      <c r="I28" s="5"/>
      <c r="J28" s="9" t="s">
        <v>238</v>
      </c>
      <c r="K28" s="46"/>
      <c r="L28" s="22">
        <f>IF(AND(L27&gt;0,C30&lt;2011,C30&gt;0),118.04,0)</f>
        <v>0</v>
      </c>
      <c r="M28" s="56">
        <f>L28</f>
        <v>0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4.65" thickBot="1" x14ac:dyDescent="0.5">
      <c r="A29" s="5"/>
      <c r="B29" s="27" t="s">
        <v>164</v>
      </c>
      <c r="C29" s="20" t="s">
        <v>167</v>
      </c>
      <c r="D29" s="5">
        <f>IF($C$27&lt;=150,Datos!G109,"")</f>
        <v>49.68</v>
      </c>
      <c r="E29" s="5" t="str">
        <f>IF(AND(C11=D5,$D$12=$D$14,$C$14=F15),Datos!G66,"")</f>
        <v/>
      </c>
      <c r="F29" s="5" t="str">
        <f>IF(AND(OR($C$13=$D$15,$C$13=$D$16),$C$14=F15,C11=D5),Datos!G70,"")</f>
        <v/>
      </c>
      <c r="G29" s="5" t="str">
        <f>IF(AND(C11=D6,$D12=$D$14,$C$14=F15),Datos!G34,"")</f>
        <v/>
      </c>
      <c r="H29" s="5" t="str">
        <f>IF(AND(OR($C$13=$D$15,$C$13=$D$16),$C$14=F15,C11=D6),Datos!G40,"")</f>
        <v/>
      </c>
      <c r="I29" s="5"/>
      <c r="J29" s="9" t="s">
        <v>169</v>
      </c>
      <c r="K29" s="46"/>
      <c r="L29" s="22">
        <f>IF(OR(C29=A36,AND(C29=A35,C30&gt;=2011)),(L4+(M4/6))*L68,0)</f>
        <v>0</v>
      </c>
      <c r="M29" s="11">
        <v>0</v>
      </c>
      <c r="P29" s="5"/>
      <c r="Q29" s="5"/>
      <c r="R29" s="5"/>
      <c r="S29" s="5"/>
      <c r="T29" s="5"/>
      <c r="U29" s="5"/>
      <c r="V29" s="5"/>
      <c r="W29" s="5"/>
    </row>
    <row r="30" spans="1:29" ht="14.65" thickBot="1" x14ac:dyDescent="0.5">
      <c r="A30" s="5"/>
      <c r="B30" s="27" t="str">
        <f>IF(C29=A35,"¿En qué año aprobaste la oposición?","")</f>
        <v/>
      </c>
      <c r="C30" s="20"/>
      <c r="D30" s="5">
        <f>IF($C$27&lt;=200,Datos!G110,"")</f>
        <v>66.239999999999995</v>
      </c>
      <c r="E30" s="5" t="str">
        <f>IF(AND(C11=D5,$D$12=$D$14,$C$14=F16),Datos!G67,"")</f>
        <v/>
      </c>
      <c r="F30" s="5" t="str">
        <f>IF(AND(OR($C$13=$D$15,$C$13=$D$16),$C$14=F16,C11=D5),Datos!G71,"")</f>
        <v/>
      </c>
      <c r="G30" s="5" t="str">
        <f>IF(AND(C11=D6,$D12=$D$14,$C$14=F13),Datos!G35,"")</f>
        <v/>
      </c>
      <c r="H30" s="5" t="str">
        <f>IF(AND(OR($C$13=$D$15,$C$13=$D$16),$C$14=F16,C11=D6),Datos!G41,"")</f>
        <v/>
      </c>
      <c r="I30" s="5"/>
      <c r="J30" s="9" t="s">
        <v>170</v>
      </c>
      <c r="K30" s="46"/>
      <c r="L30" s="53">
        <f>IF(C29=A37,L4*0.0647+M4*0.0647/6,0)</f>
        <v>208.66763633333332</v>
      </c>
      <c r="M30" s="11">
        <v>0</v>
      </c>
      <c r="P30" s="5"/>
      <c r="Q30" s="5"/>
      <c r="R30" s="5"/>
      <c r="S30" s="5"/>
      <c r="T30" s="5"/>
      <c r="U30" s="5"/>
      <c r="V30" s="5"/>
      <c r="W30" s="5"/>
    </row>
    <row r="31" spans="1:29" ht="14.65" thickBot="1" x14ac:dyDescent="0.5">
      <c r="A31" s="5"/>
      <c r="B31" s="166" t="s">
        <v>175</v>
      </c>
      <c r="C31" s="167"/>
      <c r="D31" s="5">
        <f>IF($C$27&lt;=250,Datos!G111,"")</f>
        <v>82.8</v>
      </c>
      <c r="E31" s="5" t="str">
        <f>IF(AND($C$13=$D$14,$C$15&lt;&gt;"",$C$15&lt;&gt;$G$13,$C$14=F17),Datos!G36,"")</f>
        <v/>
      </c>
      <c r="F31" s="5"/>
      <c r="G31" s="5" t="str">
        <f>IF(AND(C11=D6,$D12=$D$14,$C$14=F16),Datos!G36,"")</f>
        <v/>
      </c>
      <c r="H31" s="5" t="str">
        <f>IF(AND(OR($C$13=$D$15,$C$13=$D$16),$C$14=F17,C11=D6),Datos!G42,"")</f>
        <v/>
      </c>
      <c r="I31" s="5"/>
      <c r="J31" s="16" t="s">
        <v>171</v>
      </c>
      <c r="K31" s="55">
        <f>L61</f>
        <v>0.15605690472917594</v>
      </c>
      <c r="L31" s="54">
        <f>L4*K31</f>
        <v>442.51183791195672</v>
      </c>
      <c r="M31" s="57">
        <f>M4*K31</f>
        <v>364.77677252825958</v>
      </c>
      <c r="O31" s="5"/>
      <c r="P31" s="5"/>
      <c r="Q31" s="5"/>
      <c r="R31" s="5"/>
      <c r="S31" s="5"/>
      <c r="T31" s="5"/>
      <c r="U31" s="5"/>
      <c r="V31" s="5"/>
      <c r="W31" s="5"/>
    </row>
    <row r="32" spans="1:29" ht="14.65" thickBot="1" x14ac:dyDescent="0.5">
      <c r="A32" s="5"/>
      <c r="B32" s="27" t="s">
        <v>177</v>
      </c>
      <c r="C32" s="20" t="s">
        <v>144</v>
      </c>
      <c r="D32" s="5">
        <f>IF($C$27&lt;=300,Datos!G112,"")</f>
        <v>99.36</v>
      </c>
      <c r="E32" s="5" t="str">
        <f>IF(AND($C$13=$D$14,$C$15&lt;&gt;"",$C$15&lt;&gt;$G$13,$C$14=F18),Datos!G37,"")</f>
        <v/>
      </c>
      <c r="F32" s="5"/>
      <c r="G32" s="5" t="str">
        <f>IF(AND(C11=D6,$D12=$D$14,$C$14=F17),Datos!G37,"")</f>
        <v/>
      </c>
      <c r="H32" s="5"/>
      <c r="I32" s="5"/>
      <c r="O32" s="5" t="s">
        <v>182</v>
      </c>
      <c r="P32" s="5"/>
      <c r="Q32" s="5"/>
      <c r="R32" s="5"/>
      <c r="S32" s="5"/>
      <c r="T32" s="5"/>
      <c r="U32" s="5"/>
      <c r="V32" s="5"/>
      <c r="W32" s="5"/>
    </row>
    <row r="33" spans="1:23" ht="14.65" thickBot="1" x14ac:dyDescent="0.5">
      <c r="A33" s="5"/>
      <c r="B33" s="27" t="s">
        <v>197</v>
      </c>
      <c r="C33" s="148">
        <v>0</v>
      </c>
      <c r="D33" s="5">
        <f>IF($C$27&lt;=350,Datos!G113,"")</f>
        <v>115.92</v>
      </c>
      <c r="E33" s="5"/>
      <c r="F33" s="5" t="str">
        <f>IF(AND(OR($C$13=$D$15,$C$13=$D$16),$C$15&lt;&gt;"",$C$15&lt;&gt;$G$13,$C$14=F19),Datos!G44,"")</f>
        <v/>
      </c>
      <c r="G33" s="5" t="str">
        <f>IF(AND(C11=D6,$D12=$D$14,$C$14=F18),Datos!G38,"")</f>
        <v/>
      </c>
      <c r="H33" s="5"/>
      <c r="I33" s="5"/>
      <c r="J33" s="25"/>
      <c r="K33" s="25"/>
      <c r="L33" s="25"/>
      <c r="M33" s="25"/>
      <c r="O33" s="5" t="s">
        <v>183</v>
      </c>
      <c r="P33" s="5">
        <v>2400</v>
      </c>
      <c r="Q33" s="5">
        <v>2400</v>
      </c>
      <c r="R33" s="5"/>
      <c r="S33" s="5"/>
      <c r="T33" s="5"/>
      <c r="U33" s="5"/>
      <c r="V33" s="5"/>
      <c r="W33" s="5"/>
    </row>
    <row r="34" spans="1:23" ht="14.65" thickBot="1" x14ac:dyDescent="0.5">
      <c r="A34" s="5"/>
      <c r="B34" s="27" t="s">
        <v>196</v>
      </c>
      <c r="C34" s="148">
        <v>0</v>
      </c>
      <c r="D34" s="5">
        <f>IF($C$27&lt;=450,Datos!G114,"")</f>
        <v>132.47999999999999</v>
      </c>
      <c r="E34" s="5"/>
      <c r="F34" s="5"/>
      <c r="G34" s="5"/>
      <c r="H34" s="5"/>
      <c r="I34" s="5"/>
      <c r="J34" s="85" t="s">
        <v>173</v>
      </c>
      <c r="K34" s="86"/>
      <c r="L34" s="87"/>
      <c r="M34" s="25"/>
      <c r="O34" s="5" t="s">
        <v>184</v>
      </c>
      <c r="P34" s="5">
        <v>2700</v>
      </c>
      <c r="Q34" s="5">
        <f>Q33+P34</f>
        <v>5100</v>
      </c>
      <c r="R34" s="5"/>
      <c r="S34" s="5"/>
      <c r="T34" s="5"/>
      <c r="U34" s="5"/>
      <c r="V34" s="5"/>
      <c r="W34" s="5"/>
    </row>
    <row r="35" spans="1:23" ht="14.65" thickBot="1" x14ac:dyDescent="0.5">
      <c r="A35" s="5" t="s">
        <v>165</v>
      </c>
      <c r="B35" s="28" t="s">
        <v>180</v>
      </c>
      <c r="C35" s="20">
        <v>3</v>
      </c>
      <c r="D35" s="5">
        <f>IF($C$27&lt;=450,Datos!G115,"")</f>
        <v>149.04</v>
      </c>
      <c r="E35" s="5"/>
      <c r="F35" s="5"/>
      <c r="G35" s="5"/>
      <c r="H35" s="5"/>
      <c r="I35" s="5"/>
      <c r="J35" s="42" t="s">
        <v>174</v>
      </c>
      <c r="K35" s="43"/>
      <c r="L35" s="81">
        <f>L4*12+M4*2</f>
        <v>38701.879999999997</v>
      </c>
      <c r="O35" s="5" t="s">
        <v>185</v>
      </c>
      <c r="P35" s="5">
        <v>4000</v>
      </c>
      <c r="Q35" s="5">
        <f>Q34+P35</f>
        <v>9100</v>
      </c>
      <c r="R35" s="5"/>
      <c r="S35" s="5"/>
      <c r="T35" s="5"/>
      <c r="U35" s="5"/>
      <c r="V35" s="5"/>
      <c r="W35" s="5"/>
    </row>
    <row r="36" spans="1:23" ht="14.75" customHeight="1" thickBot="1" x14ac:dyDescent="0.5">
      <c r="A36" s="5" t="s">
        <v>166</v>
      </c>
      <c r="B36" s="27" t="s">
        <v>179</v>
      </c>
      <c r="C36" s="20">
        <v>0</v>
      </c>
      <c r="D36" s="5">
        <f>IF($C$27&lt;=1000050,Datos!G116,"")</f>
        <v>165.6</v>
      </c>
      <c r="E36" s="5"/>
      <c r="F36" s="5"/>
      <c r="G36" s="5"/>
      <c r="H36" s="5"/>
      <c r="I36" s="5"/>
      <c r="J36" s="9" t="s">
        <v>265</v>
      </c>
      <c r="K36" s="10"/>
      <c r="L36" s="11">
        <f>IF(AND(C47="Sí",L35&lt;33007.2),TRUNC(L35*0.02),0)</f>
        <v>0</v>
      </c>
      <c r="M36" s="24"/>
      <c r="N36" s="24"/>
      <c r="O36" s="5" t="s">
        <v>186</v>
      </c>
      <c r="P36" s="5">
        <v>4500</v>
      </c>
      <c r="Q36" s="5"/>
      <c r="R36" s="5"/>
      <c r="S36" s="5"/>
      <c r="T36" s="5"/>
      <c r="U36" s="5"/>
      <c r="V36" s="5"/>
      <c r="W36" s="5"/>
    </row>
    <row r="37" spans="1:23" ht="14.75" customHeight="1" thickBot="1" x14ac:dyDescent="0.5">
      <c r="A37" s="5" t="s">
        <v>167</v>
      </c>
      <c r="B37" s="29" t="s">
        <v>202</v>
      </c>
      <c r="C37" s="20" t="s">
        <v>144</v>
      </c>
      <c r="D37" s="5" t="str">
        <f>IF(B69=A68,"Sí","No")</f>
        <v>Sí</v>
      </c>
      <c r="E37" s="5"/>
      <c r="F37" s="5"/>
      <c r="G37" s="5"/>
      <c r="H37" s="5"/>
      <c r="I37" s="5"/>
      <c r="J37" s="9" t="s">
        <v>271</v>
      </c>
      <c r="K37" s="10"/>
      <c r="L37" s="11">
        <f>IF(L35-L38&lt;14047.5,6498,IF(L35-L38&lt;19747.5,6498-(1.14*(L35-L38-14047.5)),0))</f>
        <v>0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4.75" customHeight="1" thickBot="1" x14ac:dyDescent="0.5">
      <c r="A38" s="5" t="s">
        <v>188</v>
      </c>
      <c r="B38" s="27" t="s">
        <v>187</v>
      </c>
      <c r="C38" s="20" t="s">
        <v>188</v>
      </c>
      <c r="D38" s="5"/>
      <c r="E38" s="5"/>
      <c r="F38" s="5"/>
      <c r="G38" s="5"/>
      <c r="H38" s="5"/>
      <c r="I38" s="5"/>
      <c r="J38" s="42" t="s">
        <v>242</v>
      </c>
      <c r="K38" s="43"/>
      <c r="L38" s="81">
        <f>SUM(L26:L29)*14+SUM(M26:M29)*2</f>
        <v>0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4.75" customHeight="1" thickBot="1" x14ac:dyDescent="0.5">
      <c r="A39" s="5" t="s">
        <v>190</v>
      </c>
      <c r="B39" s="29" t="s">
        <v>195</v>
      </c>
      <c r="C39" s="20" t="s">
        <v>144</v>
      </c>
      <c r="D39" s="5"/>
      <c r="E39" s="5"/>
      <c r="F39" s="5"/>
      <c r="G39" s="5"/>
      <c r="H39" s="5"/>
      <c r="I39" s="5"/>
      <c r="J39" s="42" t="s">
        <v>247</v>
      </c>
      <c r="K39" s="43"/>
      <c r="L39" s="81">
        <f>C33+2000+M40</f>
        <v>2000</v>
      </c>
      <c r="M39" s="5"/>
      <c r="N39" s="5"/>
      <c r="O39" s="24"/>
      <c r="P39" s="5"/>
      <c r="Q39" s="5"/>
      <c r="R39" s="5"/>
      <c r="S39" s="5"/>
      <c r="T39" s="5"/>
      <c r="U39" s="5"/>
      <c r="V39" s="5"/>
      <c r="W39" s="5"/>
    </row>
    <row r="40" spans="1:23" ht="14.75" customHeight="1" thickBot="1" x14ac:dyDescent="0.5">
      <c r="A40" s="5" t="s">
        <v>189</v>
      </c>
      <c r="B40" s="27" t="s">
        <v>198</v>
      </c>
      <c r="C40" s="20">
        <v>1</v>
      </c>
      <c r="D40" s="5"/>
      <c r="E40" s="5"/>
      <c r="F40" s="5"/>
      <c r="G40" s="5"/>
      <c r="H40" s="5"/>
      <c r="I40" s="5"/>
      <c r="J40" s="42" t="s">
        <v>176</v>
      </c>
      <c r="K40" s="43"/>
      <c r="L40" s="81">
        <f>IF(C32="Sí",1150+5550,5550)</f>
        <v>5550</v>
      </c>
      <c r="M40" s="5">
        <f>IF(AND(C38=A41,C39="No"),3500,IF(OR(C38=A40,C38=A41),7750,0))</f>
        <v>0</v>
      </c>
      <c r="N40" s="5"/>
      <c r="O40" s="24"/>
      <c r="P40" s="5"/>
      <c r="Q40" s="5"/>
      <c r="R40" s="5"/>
      <c r="S40" s="5"/>
      <c r="T40" s="5"/>
      <c r="U40" s="5"/>
      <c r="V40" s="5"/>
      <c r="W40" s="5"/>
    </row>
    <row r="41" spans="1:23" ht="14.75" customHeight="1" x14ac:dyDescent="0.45">
      <c r="A41" s="5" t="s">
        <v>191</v>
      </c>
      <c r="B41" s="168" t="s">
        <v>213</v>
      </c>
      <c r="C41" s="170">
        <v>0</v>
      </c>
      <c r="D41" s="5"/>
      <c r="E41" s="5"/>
      <c r="F41" s="5"/>
      <c r="G41" s="5"/>
      <c r="H41" s="5"/>
      <c r="I41" s="5"/>
      <c r="J41" s="42" t="s">
        <v>178</v>
      </c>
      <c r="K41" s="43"/>
      <c r="L41" s="81">
        <f>SUM(C70:C73)</f>
        <v>0</v>
      </c>
      <c r="M41" s="5"/>
      <c r="N41" s="5"/>
      <c r="O41" s="24"/>
      <c r="P41" s="5"/>
      <c r="Q41" s="5"/>
      <c r="R41" s="5"/>
      <c r="S41" s="5"/>
      <c r="T41" s="5"/>
      <c r="U41" s="5"/>
      <c r="V41" s="5"/>
      <c r="W41" s="5"/>
    </row>
    <row r="42" spans="1:23" ht="14.75" customHeight="1" x14ac:dyDescent="0.45">
      <c r="A42" s="5"/>
      <c r="B42" s="168"/>
      <c r="C42" s="171"/>
      <c r="D42" s="5"/>
      <c r="E42" s="5"/>
      <c r="F42" s="5"/>
      <c r="G42" s="5"/>
      <c r="H42" s="5"/>
      <c r="I42" s="5"/>
      <c r="J42" s="42" t="s">
        <v>181</v>
      </c>
      <c r="K42" s="43"/>
      <c r="L42" s="81">
        <f>IF(C37="no",M48/2+1400*C36,M48+2800*C36)</f>
        <v>4550</v>
      </c>
      <c r="M42" s="5"/>
      <c r="N42" s="5"/>
      <c r="O42" s="24"/>
      <c r="P42" s="5"/>
      <c r="Q42" s="5"/>
      <c r="R42" s="5"/>
      <c r="S42" s="5"/>
      <c r="T42" s="5"/>
      <c r="U42" s="5"/>
      <c r="V42" s="5"/>
      <c r="W42" s="5"/>
    </row>
    <row r="43" spans="1:23" ht="14.75" customHeight="1" thickBot="1" x14ac:dyDescent="0.5">
      <c r="A43" s="5"/>
      <c r="B43" s="169"/>
      <c r="C43" s="172"/>
      <c r="D43" s="5"/>
      <c r="E43" s="5"/>
      <c r="F43" s="5"/>
      <c r="G43" s="5"/>
      <c r="H43" s="5"/>
      <c r="I43" s="5"/>
      <c r="J43" s="42" t="s">
        <v>192</v>
      </c>
      <c r="K43" s="43"/>
      <c r="L43" s="81">
        <f>IF(C38=A40,9000,IF(C38=A41,3000,0))</f>
        <v>0</v>
      </c>
      <c r="M43" s="5"/>
      <c r="N43" s="5"/>
      <c r="O43" s="24"/>
      <c r="P43" s="5"/>
      <c r="Q43" s="5"/>
      <c r="R43" s="5"/>
      <c r="S43" s="5"/>
      <c r="T43" s="5"/>
      <c r="U43" s="5"/>
      <c r="V43" s="5"/>
      <c r="W43" s="5"/>
    </row>
    <row r="44" spans="1:23" ht="14.75" customHeight="1" x14ac:dyDescent="0.45">
      <c r="A44" s="5"/>
      <c r="B44" s="173" t="s">
        <v>213</v>
      </c>
      <c r="C44" s="170">
        <v>0</v>
      </c>
      <c r="D44" s="5"/>
      <c r="E44" s="5"/>
      <c r="F44" s="5"/>
      <c r="G44" s="5"/>
      <c r="H44" s="5"/>
      <c r="I44" s="5"/>
      <c r="J44" s="42" t="s">
        <v>193</v>
      </c>
      <c r="K44" s="43"/>
      <c r="L44" s="81">
        <f>SUM(C74:C77)</f>
        <v>0</v>
      </c>
      <c r="M44" s="5"/>
      <c r="N44" s="5"/>
      <c r="O44" s="24"/>
      <c r="P44" s="5"/>
      <c r="Q44" s="5"/>
      <c r="R44" s="5"/>
      <c r="S44" s="5"/>
      <c r="T44" s="5"/>
      <c r="U44" s="5"/>
      <c r="V44" s="5"/>
      <c r="W44" s="5"/>
    </row>
    <row r="45" spans="1:23" ht="14.75" customHeight="1" x14ac:dyDescent="0.45">
      <c r="A45" s="5"/>
      <c r="B45" s="168"/>
      <c r="C45" s="171"/>
      <c r="D45" s="5"/>
      <c r="E45" s="5"/>
      <c r="F45" s="5"/>
      <c r="G45" s="5"/>
      <c r="H45" s="5"/>
      <c r="I45" s="5"/>
      <c r="J45" s="42" t="s">
        <v>194</v>
      </c>
      <c r="K45" s="43"/>
      <c r="L45" s="81">
        <f>IF(C37="Sí",M50,M50/2)</f>
        <v>6000</v>
      </c>
      <c r="M45" s="5"/>
      <c r="N45" s="5"/>
      <c r="O45" s="24"/>
      <c r="P45" s="5"/>
      <c r="Q45" s="5"/>
      <c r="R45" s="5"/>
      <c r="S45" s="5"/>
      <c r="T45" s="5"/>
      <c r="U45" s="5"/>
      <c r="V45" s="5"/>
      <c r="W45" s="5"/>
    </row>
    <row r="46" spans="1:23" ht="14.75" customHeight="1" thickBot="1" x14ac:dyDescent="0.5">
      <c r="A46" s="5"/>
      <c r="B46" s="169"/>
      <c r="C46" s="172"/>
      <c r="D46" s="5"/>
      <c r="E46" s="5"/>
      <c r="F46" s="5"/>
      <c r="G46" s="5"/>
      <c r="H46" s="5"/>
      <c r="I46" s="5"/>
      <c r="J46" s="42" t="s">
        <v>212</v>
      </c>
      <c r="K46" s="43"/>
      <c r="L46" s="81">
        <f>IF(OR(C39="Sí",C38=A40),3000,0)</f>
        <v>0</v>
      </c>
      <c r="M46" s="5"/>
      <c r="N46" s="5"/>
      <c r="O46" s="24"/>
      <c r="P46" s="5"/>
      <c r="Q46" s="5"/>
      <c r="R46" s="5"/>
      <c r="S46" s="5"/>
      <c r="T46" s="5"/>
      <c r="U46" s="5"/>
      <c r="V46" s="5"/>
      <c r="W46" s="5"/>
    </row>
    <row r="47" spans="1:23" ht="14.75" customHeight="1" thickBot="1" x14ac:dyDescent="0.5">
      <c r="A47" s="24"/>
      <c r="B47" s="27" t="s">
        <v>273</v>
      </c>
      <c r="C47" s="20" t="s">
        <v>144</v>
      </c>
      <c r="D47" s="5"/>
      <c r="E47" s="5"/>
      <c r="F47" s="5"/>
      <c r="G47" s="5"/>
      <c r="H47" s="5"/>
      <c r="I47" s="5"/>
      <c r="J47" s="9" t="s">
        <v>214</v>
      </c>
      <c r="K47" s="10"/>
      <c r="L47" s="11">
        <f>SUM(L40:L46)</f>
        <v>16100</v>
      </c>
      <c r="M47" s="5"/>
      <c r="N47" s="5"/>
      <c r="O47" s="24"/>
      <c r="P47" s="5"/>
      <c r="Q47" s="5"/>
      <c r="R47" s="5"/>
      <c r="S47" s="5"/>
      <c r="T47" s="5"/>
      <c r="U47" s="5"/>
      <c r="V47" s="5"/>
      <c r="W47" s="5"/>
    </row>
    <row r="48" spans="1:23" ht="14.75" customHeight="1" thickBot="1" x14ac:dyDescent="0.5">
      <c r="A48" s="24"/>
      <c r="B48" s="27" t="s">
        <v>266</v>
      </c>
      <c r="C48" s="149"/>
      <c r="D48" s="5"/>
      <c r="E48" s="5"/>
      <c r="F48" s="5"/>
      <c r="G48" s="5"/>
      <c r="H48" s="5"/>
      <c r="I48" s="5"/>
      <c r="J48" s="9" t="s">
        <v>215</v>
      </c>
      <c r="K48" s="10"/>
      <c r="L48" s="11">
        <f>MAX(0,L35-L38-L39-L37)</f>
        <v>36701.879999999997</v>
      </c>
      <c r="M48" s="5">
        <f>IF(C35=1,Q33,IF(C35=2,Q34,IF(C35=3,Q35,IF(C35&lt;1,0,Q35+4500*(C35-3)))))</f>
        <v>9100</v>
      </c>
      <c r="N48" s="5"/>
      <c r="O48" s="24"/>
      <c r="P48" s="5"/>
      <c r="Q48" s="5"/>
      <c r="R48" s="5"/>
      <c r="S48" s="5"/>
      <c r="T48" s="5"/>
      <c r="U48" s="5"/>
      <c r="V48" s="5"/>
      <c r="W48" s="5"/>
    </row>
    <row r="49" spans="1:23" ht="14.75" customHeight="1" thickBot="1" x14ac:dyDescent="0.5">
      <c r="A49" s="24"/>
      <c r="B49" s="30" t="s">
        <v>199</v>
      </c>
      <c r="C49" s="141"/>
      <c r="D49" s="5"/>
      <c r="E49" s="5"/>
      <c r="F49" s="5"/>
      <c r="G49" s="5"/>
      <c r="H49" s="5"/>
      <c r="I49" s="5"/>
      <c r="J49" s="9" t="s">
        <v>216</v>
      </c>
      <c r="K49" s="10"/>
      <c r="L49" s="11">
        <f>IF(L47&gt;12450,0,MAX(0,MIN(12450,L48)-L47))</f>
        <v>0</v>
      </c>
      <c r="M49" s="5"/>
      <c r="N49" s="5"/>
      <c r="O49" s="24"/>
      <c r="P49" s="5"/>
      <c r="Q49" s="5"/>
      <c r="R49" s="5"/>
      <c r="S49" s="5"/>
      <c r="T49" s="5"/>
      <c r="U49" s="5"/>
      <c r="V49" s="5"/>
      <c r="W49" s="5"/>
    </row>
    <row r="50" spans="1:23" ht="14.75" customHeight="1" thickBot="1" x14ac:dyDescent="0.5">
      <c r="A50" s="24"/>
      <c r="B50" s="30" t="s">
        <v>200</v>
      </c>
      <c r="C50" s="141" t="s">
        <v>188</v>
      </c>
      <c r="D50" s="5"/>
      <c r="E50" s="5"/>
      <c r="F50" s="5"/>
      <c r="G50" s="5"/>
      <c r="H50" s="5"/>
      <c r="I50" s="5"/>
      <c r="J50" s="9" t="s">
        <v>217</v>
      </c>
      <c r="K50" s="10"/>
      <c r="L50" s="11">
        <f>IF(IF(L47&gt;20200,0,IF(L48&gt;20200,MIN(20200-L47,20200-12450),MIN(L48-L47,L48-12450)))&lt;0,0,IF(L47&gt;20200,0,IF(L48&gt;20200,MIN(20200-L47,20200-12450),MIN(L48-L47,L48-12450))))</f>
        <v>4100</v>
      </c>
      <c r="M50" s="5">
        <f>C40*12000+C41*6000+C44*3000</f>
        <v>12000</v>
      </c>
      <c r="N50" s="5"/>
      <c r="O50" s="24"/>
      <c r="P50" s="5"/>
      <c r="Q50" s="5"/>
      <c r="R50" s="5"/>
      <c r="S50" s="5"/>
      <c r="T50" s="5"/>
      <c r="U50" s="5"/>
      <c r="V50" s="5"/>
      <c r="W50" s="5"/>
    </row>
    <row r="51" spans="1:23" ht="14.75" customHeight="1" thickBot="1" x14ac:dyDescent="0.5">
      <c r="A51" s="24"/>
      <c r="B51" s="30" t="s">
        <v>207</v>
      </c>
      <c r="C51" s="20" t="s">
        <v>144</v>
      </c>
      <c r="D51" s="5"/>
      <c r="E51" s="5"/>
      <c r="F51" s="5"/>
      <c r="G51" s="5"/>
      <c r="H51" s="5"/>
      <c r="I51" s="5"/>
      <c r="J51" s="9" t="s">
        <v>218</v>
      </c>
      <c r="K51" s="10"/>
      <c r="L51" s="11">
        <f>IF(IF(L47&gt;35200,0,IF(L48&gt;35200,MIN(35200-L47,35200-20200),MIN(L48-L47,L48-20200)))&lt;0,0,IF(L47&gt;35200,0,IF(L48&gt;35200,MIN(35200-L47,35200-20200),MIN(L48-L47,L48-20200))))</f>
        <v>15000</v>
      </c>
      <c r="M51" s="5"/>
      <c r="N51" s="5"/>
      <c r="O51" s="24"/>
      <c r="P51" s="5"/>
      <c r="Q51" s="5"/>
      <c r="R51" s="5"/>
      <c r="S51" s="5"/>
      <c r="T51" s="5"/>
      <c r="U51" s="5"/>
      <c r="V51" s="5"/>
      <c r="W51" s="5"/>
    </row>
    <row r="52" spans="1:23" ht="14.75" customHeight="1" thickBot="1" x14ac:dyDescent="0.5">
      <c r="A52" s="5"/>
      <c r="B52" s="31" t="s">
        <v>201</v>
      </c>
      <c r="C52" s="141"/>
      <c r="D52" s="5"/>
      <c r="E52" s="5"/>
      <c r="F52" s="5"/>
      <c r="G52" s="5"/>
      <c r="H52" s="5"/>
      <c r="I52" s="5"/>
      <c r="J52" s="9" t="s">
        <v>219</v>
      </c>
      <c r="K52" s="10"/>
      <c r="L52" s="11">
        <f>IF(IF(L47&gt;60000,0,IF(L48&gt;60000,MIN(35200-L47,60000-35200),MIN(L48-L47,L48-35200)))&lt;0,0,IF(L47&gt;60000,0,IF(L48&gt;60000,MIN(35200-L47,60000-35200),MIN(L48-L47,L48-35200))))</f>
        <v>1501.8799999999974</v>
      </c>
      <c r="M52" s="5"/>
      <c r="N52" s="5"/>
      <c r="O52" s="24"/>
      <c r="P52" s="5"/>
      <c r="Q52" s="5"/>
      <c r="R52" s="5"/>
      <c r="S52" s="5"/>
      <c r="T52" s="5"/>
      <c r="U52" s="5"/>
      <c r="V52" s="5"/>
      <c r="W52" s="5"/>
    </row>
    <row r="53" spans="1:23" ht="14.75" customHeight="1" thickBot="1" x14ac:dyDescent="0.5">
      <c r="A53" s="5"/>
      <c r="B53" s="27" t="s">
        <v>267</v>
      </c>
      <c r="C53" s="149"/>
      <c r="H53" s="5"/>
      <c r="I53" s="5"/>
      <c r="J53" s="9" t="s">
        <v>220</v>
      </c>
      <c r="K53" s="10"/>
      <c r="L53" s="11">
        <f>IF(IF(L47&gt;30000,0,IF(L48&gt;300000,MIN(60000-L47,300000-60000),MIN(L48-L47,L48-60000)))&lt;0,0,IF(L47&gt;30000,0,IF(L48&gt;300000,MIN(60000-L47,300000-60000),MIN(L48-L47,L48-60000))))</f>
        <v>0</v>
      </c>
      <c r="M53" s="5"/>
      <c r="N53" s="5"/>
      <c r="O53" s="24"/>
      <c r="P53" s="5"/>
      <c r="Q53" s="5"/>
      <c r="R53" s="5"/>
      <c r="S53" s="5"/>
      <c r="T53" s="5"/>
      <c r="U53" s="5"/>
      <c r="V53" s="5"/>
      <c r="W53" s="5"/>
    </row>
    <row r="54" spans="1:23" ht="14.75" customHeight="1" thickBot="1" x14ac:dyDescent="0.5">
      <c r="A54" s="5"/>
      <c r="B54" s="30" t="s">
        <v>199</v>
      </c>
      <c r="C54" s="141"/>
      <c r="H54" s="5"/>
      <c r="I54" s="5"/>
      <c r="J54" s="9" t="s">
        <v>221</v>
      </c>
      <c r="K54" s="10"/>
      <c r="L54" s="11">
        <f>ROUND(L49*0.19,2)</f>
        <v>0</v>
      </c>
      <c r="M54" s="5"/>
      <c r="N54" s="5"/>
      <c r="O54" s="24"/>
      <c r="P54" s="5"/>
      <c r="Q54" s="5"/>
      <c r="R54" s="5"/>
      <c r="S54" s="5"/>
      <c r="T54" s="5"/>
      <c r="U54" s="5"/>
      <c r="V54" s="5"/>
      <c r="W54" s="5"/>
    </row>
    <row r="55" spans="1:23" ht="14.75" customHeight="1" thickBot="1" x14ac:dyDescent="0.5">
      <c r="A55" s="5"/>
      <c r="B55" s="30" t="s">
        <v>200</v>
      </c>
      <c r="C55" s="141" t="s">
        <v>188</v>
      </c>
      <c r="G55" s="5"/>
      <c r="H55" s="5"/>
      <c r="I55" s="5"/>
      <c r="J55" s="9" t="s">
        <v>222</v>
      </c>
      <c r="K55" s="10"/>
      <c r="L55" s="11">
        <f>ROUND(L50*0.24,2)</f>
        <v>984</v>
      </c>
      <c r="M55" s="5"/>
      <c r="N55" s="5"/>
      <c r="P55" s="5"/>
      <c r="Q55" s="5"/>
      <c r="R55" s="5"/>
      <c r="S55" s="5"/>
      <c r="T55" s="5"/>
      <c r="U55" s="5"/>
      <c r="V55" s="5"/>
      <c r="W55" s="5"/>
    </row>
    <row r="56" spans="1:23" ht="14.75" customHeight="1" thickBot="1" x14ac:dyDescent="0.5">
      <c r="A56" s="5"/>
      <c r="B56" s="30" t="s">
        <v>207</v>
      </c>
      <c r="C56" s="20" t="s">
        <v>144</v>
      </c>
      <c r="G56" s="5"/>
      <c r="H56" s="5"/>
      <c r="I56" s="5"/>
      <c r="J56" s="9" t="s">
        <v>223</v>
      </c>
      <c r="K56" s="10"/>
      <c r="L56" s="11">
        <f>ROUND(L51*0.3,2)</f>
        <v>4500</v>
      </c>
      <c r="M56" s="5"/>
      <c r="N56" s="5"/>
      <c r="P56" s="5"/>
      <c r="Q56" s="5"/>
      <c r="R56" s="5"/>
      <c r="S56" s="5"/>
      <c r="T56" s="5"/>
      <c r="U56" s="5"/>
      <c r="V56" s="5"/>
      <c r="W56" s="5"/>
    </row>
    <row r="57" spans="1:23" ht="14.75" customHeight="1" thickBot="1" x14ac:dyDescent="0.5">
      <c r="A57" s="5"/>
      <c r="B57" s="31" t="s">
        <v>201</v>
      </c>
      <c r="C57" s="141"/>
      <c r="G57" s="5"/>
      <c r="H57" s="5"/>
      <c r="I57" s="5"/>
      <c r="J57" s="9" t="s">
        <v>224</v>
      </c>
      <c r="K57" s="10"/>
      <c r="L57" s="11">
        <f>ROUND(L52*0.37,2)</f>
        <v>555.70000000000005</v>
      </c>
      <c r="P57" s="5"/>
      <c r="Q57" s="5"/>
      <c r="R57" s="5"/>
      <c r="S57" s="5"/>
      <c r="T57" s="5"/>
      <c r="U57" s="5"/>
      <c r="V57" s="5"/>
      <c r="W57" s="5"/>
    </row>
    <row r="58" spans="1:23" ht="14.65" thickBot="1" x14ac:dyDescent="0.5">
      <c r="A58" s="5"/>
      <c r="B58" s="27" t="s">
        <v>268</v>
      </c>
      <c r="C58" s="149"/>
      <c r="G58" s="5"/>
      <c r="H58" s="5"/>
      <c r="I58" s="5"/>
      <c r="J58" s="9" t="s">
        <v>225</v>
      </c>
      <c r="K58" s="10"/>
      <c r="L58" s="11">
        <f>ROUND(L53*0.45,2)</f>
        <v>0</v>
      </c>
      <c r="P58" s="5"/>
      <c r="Q58" s="5"/>
      <c r="R58" s="5"/>
      <c r="S58" s="5"/>
      <c r="T58" s="5"/>
      <c r="U58" s="5"/>
      <c r="V58" s="5"/>
      <c r="W58" s="5"/>
    </row>
    <row r="59" spans="1:23" ht="14.65" thickBot="1" x14ac:dyDescent="0.5">
      <c r="A59" s="5"/>
      <c r="B59" s="30" t="s">
        <v>199</v>
      </c>
      <c r="C59" s="141"/>
      <c r="G59" s="5"/>
      <c r="H59" s="5"/>
      <c r="I59" s="5"/>
      <c r="J59" s="9" t="s">
        <v>272</v>
      </c>
      <c r="K59" s="10"/>
      <c r="L59" s="56">
        <f>SUM(L54:L58)</f>
        <v>6039.7</v>
      </c>
      <c r="P59" s="5"/>
      <c r="Q59" s="5"/>
      <c r="R59" s="5"/>
      <c r="S59" s="5"/>
      <c r="T59" s="5"/>
      <c r="U59" s="5"/>
      <c r="V59" s="5"/>
      <c r="W59" s="5"/>
    </row>
    <row r="60" spans="1:23" ht="14.65" thickBot="1" x14ac:dyDescent="0.5">
      <c r="A60" s="5"/>
      <c r="B60" s="30" t="s">
        <v>200</v>
      </c>
      <c r="C60" s="141" t="s">
        <v>188</v>
      </c>
      <c r="G60" s="5"/>
      <c r="H60" s="5"/>
      <c r="I60" s="5"/>
      <c r="J60" s="9" t="s">
        <v>270</v>
      </c>
      <c r="K60" s="10"/>
      <c r="L60" s="56">
        <f>MAX(0,C129-L36)</f>
        <v>6039.6955999999991</v>
      </c>
      <c r="P60" s="5"/>
      <c r="Q60" s="5"/>
      <c r="R60" s="5"/>
      <c r="S60" s="5"/>
      <c r="T60" s="5"/>
      <c r="U60" s="5"/>
      <c r="V60" s="5"/>
      <c r="W60" s="5"/>
    </row>
    <row r="61" spans="1:23" ht="14.65" thickBot="1" x14ac:dyDescent="0.5">
      <c r="A61" s="5"/>
      <c r="B61" s="32" t="s">
        <v>207</v>
      </c>
      <c r="C61" s="20" t="s">
        <v>144</v>
      </c>
      <c r="G61" s="5"/>
      <c r="H61" s="5"/>
      <c r="I61" s="5"/>
      <c r="J61" s="91" t="s">
        <v>226</v>
      </c>
      <c r="K61" s="92"/>
      <c r="L61" s="93">
        <f>IF(M61&lt;0.02,0.02,M61)</f>
        <v>0.15605690472917594</v>
      </c>
      <c r="M61" s="5">
        <f>IF(L60&lt;L59,L60/L35,L59/L35)</f>
        <v>0.15605690472917594</v>
      </c>
    </row>
    <row r="62" spans="1:23" ht="14.65" thickBot="1" x14ac:dyDescent="0.5">
      <c r="A62" s="5"/>
      <c r="B62" s="31" t="s">
        <v>201</v>
      </c>
      <c r="C62" s="141"/>
      <c r="G62" s="5"/>
      <c r="H62" s="5"/>
      <c r="I62" s="5"/>
    </row>
    <row r="63" spans="1:23" ht="14.65" thickBot="1" x14ac:dyDescent="0.5">
      <c r="A63" s="5"/>
      <c r="B63" s="27" t="s">
        <v>269</v>
      </c>
      <c r="C63" s="149"/>
      <c r="G63" s="5"/>
      <c r="H63" s="5"/>
      <c r="I63" s="5"/>
      <c r="J63" s="85" t="s">
        <v>228</v>
      </c>
      <c r="K63" s="88"/>
      <c r="L63" s="89"/>
    </row>
    <row r="64" spans="1:23" ht="14.65" thickBot="1" x14ac:dyDescent="0.5">
      <c r="A64" s="5"/>
      <c r="B64" s="30" t="s">
        <v>199</v>
      </c>
      <c r="C64" s="141"/>
      <c r="G64" s="5"/>
      <c r="H64" s="5"/>
      <c r="I64" s="5"/>
      <c r="J64" s="9" t="s">
        <v>230</v>
      </c>
      <c r="K64" s="7"/>
      <c r="L64" s="82">
        <v>4.7E-2</v>
      </c>
    </row>
    <row r="65" spans="1:12" ht="14.65" thickBot="1" x14ac:dyDescent="0.5">
      <c r="A65" s="5"/>
      <c r="B65" s="30" t="s">
        <v>200</v>
      </c>
      <c r="C65" s="141" t="s">
        <v>188</v>
      </c>
      <c r="G65" s="5"/>
      <c r="H65" s="5"/>
      <c r="I65" s="5"/>
      <c r="J65" s="9" t="s">
        <v>231</v>
      </c>
      <c r="K65" s="7"/>
      <c r="L65" s="82">
        <v>1.1999999999999999E-3</v>
      </c>
    </row>
    <row r="66" spans="1:12" ht="14.65" thickBot="1" x14ac:dyDescent="0.5">
      <c r="A66" s="5"/>
      <c r="B66" s="32" t="s">
        <v>207</v>
      </c>
      <c r="C66" s="20" t="s">
        <v>144</v>
      </c>
      <c r="G66" s="5"/>
      <c r="H66" s="5"/>
      <c r="I66" s="5"/>
      <c r="J66" s="9" t="s">
        <v>236</v>
      </c>
      <c r="K66" s="7"/>
      <c r="L66" s="82">
        <v>0.28299999999999997</v>
      </c>
    </row>
    <row r="67" spans="1:12" ht="14.65" thickBot="1" x14ac:dyDescent="0.5">
      <c r="A67" s="5"/>
      <c r="B67" s="32" t="s">
        <v>201</v>
      </c>
      <c r="C67" s="141"/>
      <c r="G67" s="5"/>
      <c r="H67" s="5"/>
      <c r="I67" s="5"/>
      <c r="J67" s="9" t="s">
        <v>235</v>
      </c>
      <c r="K67" s="7"/>
      <c r="L67" s="46">
        <v>1.0999999999999999E-2</v>
      </c>
    </row>
    <row r="68" spans="1:12" ht="14.65" thickBot="1" x14ac:dyDescent="0.5">
      <c r="A68" s="35" t="s">
        <v>246</v>
      </c>
      <c r="B68" s="28" t="s">
        <v>243</v>
      </c>
      <c r="C68" s="80">
        <f>IF(B69=A68,1,IF(B69=A69,2,IF(B69=A70,3,0)))</f>
        <v>1</v>
      </c>
      <c r="G68" s="5"/>
      <c r="H68" s="5"/>
      <c r="I68" s="5"/>
      <c r="J68" s="91" t="s">
        <v>234</v>
      </c>
      <c r="K68" s="92"/>
      <c r="L68" s="94">
        <f>L64+L65-(L66*L67)</f>
        <v>4.5087000000000002E-2</v>
      </c>
    </row>
    <row r="69" spans="1:12" ht="42" customHeight="1" thickBot="1" x14ac:dyDescent="0.5">
      <c r="A69" s="35" t="s">
        <v>244</v>
      </c>
      <c r="B69" s="156" t="s">
        <v>246</v>
      </c>
      <c r="C69" s="157"/>
      <c r="G69" s="5"/>
      <c r="H69" s="5"/>
      <c r="I69" s="5"/>
    </row>
    <row r="70" spans="1:12" x14ac:dyDescent="0.45">
      <c r="A70" s="35" t="s">
        <v>245</v>
      </c>
      <c r="B70" s="5" t="s">
        <v>203</v>
      </c>
      <c r="C70" s="5">
        <f>IF(C49&gt;=75,ROUND((1150+1400)/C52,2),IF(C49&gt;=65,ROUND(1150/C52,2),0))</f>
        <v>0</v>
      </c>
      <c r="G70" s="5"/>
      <c r="H70" s="5"/>
      <c r="I70" s="5"/>
      <c r="J70" s="85" t="s">
        <v>229</v>
      </c>
      <c r="K70" s="88"/>
      <c r="L70" s="89"/>
    </row>
    <row r="71" spans="1:12" x14ac:dyDescent="0.45">
      <c r="A71" s="5"/>
      <c r="B71" s="5" t="s">
        <v>204</v>
      </c>
      <c r="C71" s="5">
        <f>IF(C54&gt;=75,ROUND((1150+1400)/C57,2),IF(C54&gt;=65,ROUND(1150/C57,2),0))</f>
        <v>0</v>
      </c>
      <c r="D71" s="5"/>
      <c r="E71" s="5"/>
      <c r="F71" s="5"/>
      <c r="G71" s="5"/>
      <c r="H71" s="5"/>
      <c r="I71" s="5"/>
      <c r="J71" s="9" t="s">
        <v>230</v>
      </c>
      <c r="K71" s="7"/>
      <c r="L71" s="82">
        <v>4.7E-2</v>
      </c>
    </row>
    <row r="72" spans="1:12" x14ac:dyDescent="0.45">
      <c r="A72" s="5"/>
      <c r="B72" s="5" t="s">
        <v>205</v>
      </c>
      <c r="C72" s="5">
        <f>IF(C59&gt;=75,ROUND((1150+1400)/C62,2),IF(C59&gt;=65,ROUND(1150/C62,2),0))</f>
        <v>0</v>
      </c>
      <c r="D72" s="5"/>
      <c r="E72" s="5"/>
      <c r="F72" s="5"/>
      <c r="G72" s="5"/>
      <c r="H72" s="5"/>
      <c r="I72" s="5"/>
      <c r="J72" s="9" t="s">
        <v>231</v>
      </c>
      <c r="K72" s="7"/>
      <c r="L72" s="82">
        <v>1.1999999999999999E-3</v>
      </c>
    </row>
    <row r="73" spans="1:12" x14ac:dyDescent="0.45">
      <c r="A73" s="5"/>
      <c r="B73" s="5" t="s">
        <v>206</v>
      </c>
      <c r="C73" s="5">
        <f>IF(C64&gt;=75,ROUND((1150+1400)/C67,2),IF(C64&gt;=65,ROUND(1150/C67,2),0))</f>
        <v>0</v>
      </c>
      <c r="D73" s="5"/>
      <c r="E73" s="5"/>
      <c r="F73" s="5"/>
      <c r="G73" s="5"/>
      <c r="H73" s="5"/>
      <c r="I73" s="5"/>
      <c r="J73" s="9" t="s">
        <v>232</v>
      </c>
      <c r="K73" s="7"/>
      <c r="L73" s="82">
        <v>1.55E-2</v>
      </c>
    </row>
    <row r="74" spans="1:12" x14ac:dyDescent="0.45">
      <c r="A74" s="25"/>
      <c r="B74" s="5" t="s">
        <v>208</v>
      </c>
      <c r="C74" s="5">
        <f>IF(C49&lt;65,0,IF(C50=A40,ROUND(12000/C52,2),IF(AND(C50=A41,C51="No"),ROUND(3000/C52,2),IF(AND(C50=A41,C51="Sí"),ROUND(6000/C52,2),""))))</f>
        <v>0</v>
      </c>
      <c r="D74" s="5"/>
      <c r="E74" s="5"/>
      <c r="F74" s="5"/>
      <c r="G74" s="5"/>
      <c r="H74" s="5"/>
      <c r="I74" s="5"/>
      <c r="J74" s="9" t="s">
        <v>233</v>
      </c>
      <c r="K74" s="7"/>
      <c r="L74" s="82">
        <v>1E-3</v>
      </c>
    </row>
    <row r="75" spans="1:12" ht="14.65" thickBot="1" x14ac:dyDescent="0.5">
      <c r="A75" s="25"/>
      <c r="B75" s="5" t="s">
        <v>209</v>
      </c>
      <c r="C75" s="5">
        <f>IF(C54&lt;65,0,IF(C55=A40,ROUND(12000/C57,2),IF(AND(C55=A41,C56="No"),ROUND(3000/C57,2),IF(AND(C55=A41,C56="Sí"),ROUND(6000/C57,2),""))))</f>
        <v>0</v>
      </c>
      <c r="D75" s="5"/>
      <c r="E75" s="5"/>
      <c r="F75" s="5"/>
      <c r="G75" s="5"/>
      <c r="H75" s="5"/>
      <c r="I75" s="5"/>
      <c r="J75" s="91" t="s">
        <v>234</v>
      </c>
      <c r="K75" s="92"/>
      <c r="L75" s="93">
        <f>SUM(L71:L74)</f>
        <v>6.4700000000000008E-2</v>
      </c>
    </row>
    <row r="76" spans="1:12" x14ac:dyDescent="0.45">
      <c r="A76" s="25"/>
      <c r="B76" s="5" t="s">
        <v>210</v>
      </c>
      <c r="C76" s="5">
        <f>IF(C59&lt;65,0,IF(C60=A40,ROUND(12000/C62,2),IF(AND(C60=A41,C61="No"),ROUND(3000/C62,2),IF(AND(C60=A41,C61="Sí"),ROUND(6000/C62,2),""))))</f>
        <v>0</v>
      </c>
      <c r="D76" s="5"/>
      <c r="E76" s="5"/>
      <c r="F76" s="5"/>
      <c r="G76" s="5"/>
      <c r="H76" s="5"/>
      <c r="I76" s="5"/>
    </row>
    <row r="77" spans="1:12" x14ac:dyDescent="0.45">
      <c r="A77" s="25"/>
      <c r="B77" s="5" t="s">
        <v>211</v>
      </c>
      <c r="C77" s="5">
        <f>IF(C64&lt;65,0,IF(C65=A40,ROUND(12000/C67,2),IF(AND(C65=A41,C66="No"),ROUND(3000/C67,2),IF(AND(C65=A41,C66="Sí"),ROUND(6000/C67,2),""))))</f>
        <v>0</v>
      </c>
      <c r="D77" s="5"/>
      <c r="E77" s="5"/>
      <c r="F77" s="5"/>
      <c r="G77" s="5"/>
      <c r="H77" s="5"/>
      <c r="I77" s="5"/>
    </row>
    <row r="78" spans="1:12" x14ac:dyDescent="0.45">
      <c r="A78" s="25"/>
      <c r="B78" s="5"/>
      <c r="C78" s="5"/>
      <c r="I78" s="5"/>
    </row>
    <row r="79" spans="1:12" x14ac:dyDescent="0.45">
      <c r="A79" s="25"/>
      <c r="B79" s="5" t="s">
        <v>248</v>
      </c>
      <c r="C79" s="5"/>
      <c r="I79" s="5"/>
    </row>
    <row r="80" spans="1:12" x14ac:dyDescent="0.45">
      <c r="A80" s="25"/>
      <c r="B80" s="5" t="s">
        <v>249</v>
      </c>
      <c r="C80" s="39">
        <f>L48-C34</f>
        <v>36701.879999999997</v>
      </c>
      <c r="I80" s="5"/>
    </row>
    <row r="81" spans="1:9" x14ac:dyDescent="0.45">
      <c r="A81" s="25"/>
      <c r="B81" s="5" t="s">
        <v>250</v>
      </c>
      <c r="C81" s="39">
        <f>C34</f>
        <v>0</v>
      </c>
      <c r="I81" s="5"/>
    </row>
    <row r="82" spans="1:9" x14ac:dyDescent="0.45">
      <c r="A82" s="25"/>
      <c r="B82" s="5" t="s">
        <v>251</v>
      </c>
      <c r="C82" s="40">
        <f>MAX(B84:B89)</f>
        <v>9281.1955999999991</v>
      </c>
      <c r="I82" s="5"/>
    </row>
    <row r="83" spans="1:9" x14ac:dyDescent="0.45">
      <c r="A83" s="25"/>
      <c r="B83" s="5" t="s">
        <v>253</v>
      </c>
      <c r="C83" s="5"/>
      <c r="I83" s="5"/>
    </row>
    <row r="84" spans="1:9" x14ac:dyDescent="0.45">
      <c r="A84" s="25"/>
      <c r="B84" s="5" t="str">
        <f>IF(C80&lt;12450,0+(C80)*0.19,"")</f>
        <v/>
      </c>
      <c r="C84" s="5"/>
      <c r="I84" s="5"/>
    </row>
    <row r="85" spans="1:9" x14ac:dyDescent="0.45">
      <c r="A85" s="25"/>
      <c r="B85" s="5" t="str">
        <f>IF(AND(C80&gt;=12450,C80&lt;20200),2365.5+(C80-12450)*0.24,"")</f>
        <v/>
      </c>
      <c r="C85" s="5"/>
      <c r="I85" s="5"/>
    </row>
    <row r="86" spans="1:9" x14ac:dyDescent="0.45">
      <c r="A86" s="25"/>
      <c r="B86" s="5" t="str">
        <f>IF(AND(C80&gt;=20200,C80&lt;35200),4225.5+(C80-20200)*0.3,"")</f>
        <v/>
      </c>
      <c r="C86" s="5"/>
      <c r="I86" s="5"/>
    </row>
    <row r="87" spans="1:9" x14ac:dyDescent="0.45">
      <c r="A87" s="25"/>
      <c r="B87" s="5">
        <f>IF(AND(C80&gt;=35200,C80&lt;60000),8725.5+(C80-35200)*0.37,"")</f>
        <v>9281.1955999999991</v>
      </c>
      <c r="C87" s="5"/>
      <c r="I87" s="5"/>
    </row>
    <row r="88" spans="1:9" x14ac:dyDescent="0.45">
      <c r="A88" s="25"/>
      <c r="B88" s="5" t="str">
        <f>IF(AND(C80&gt;=60000,C80&lt;300000),17901.5+(C80-60000)*0.45,"")</f>
        <v/>
      </c>
      <c r="C88" s="5"/>
      <c r="I88" s="5"/>
    </row>
    <row r="89" spans="1:9" x14ac:dyDescent="0.45">
      <c r="A89" s="25"/>
      <c r="B89" s="5" t="str">
        <f>IF(C80&gt;300000,125901.5+(C80-300000)*0.47,"")</f>
        <v/>
      </c>
      <c r="C89" s="5"/>
      <c r="I89" s="5"/>
    </row>
    <row r="90" spans="1:9" x14ac:dyDescent="0.45">
      <c r="A90" s="25"/>
      <c r="B90" s="5" t="s">
        <v>252</v>
      </c>
      <c r="C90" s="40">
        <f>MAX(B91:B96)</f>
        <v>0</v>
      </c>
      <c r="I90" s="5"/>
    </row>
    <row r="91" spans="1:9" x14ac:dyDescent="0.45">
      <c r="A91" s="25"/>
      <c r="B91" s="5">
        <f>IF(C81&lt;12450,0+(C81)*0.19,"")</f>
        <v>0</v>
      </c>
      <c r="C91" s="5"/>
      <c r="I91" s="5"/>
    </row>
    <row r="92" spans="1:9" x14ac:dyDescent="0.45">
      <c r="A92" s="25"/>
      <c r="B92" s="5" t="str">
        <f>IF(AND(C81&gt;=12450,C81&lt;20200),2365.5+(C81-12450)*0.24,"")</f>
        <v/>
      </c>
      <c r="C92" s="5"/>
      <c r="I92" s="5"/>
    </row>
    <row r="93" spans="1:9" x14ac:dyDescent="0.45">
      <c r="A93" s="25"/>
      <c r="B93" s="5" t="str">
        <f>IF(AND(C81&gt;=20200,C81&lt;35200),4225.5+(C81-20200)*0.3,"")</f>
        <v/>
      </c>
      <c r="C93" s="5"/>
      <c r="I93" s="5"/>
    </row>
    <row r="94" spans="1:9" x14ac:dyDescent="0.45">
      <c r="A94" s="25"/>
      <c r="B94" s="5" t="str">
        <f>IF(AND(C81&gt;=35200,C81&lt;60000),8725.5+(C81-35200)*0.37,"")</f>
        <v/>
      </c>
      <c r="C94" s="5"/>
      <c r="I94" s="5"/>
    </row>
    <row r="95" spans="1:9" x14ac:dyDescent="0.45">
      <c r="A95" s="25"/>
      <c r="B95" s="5" t="str">
        <f>IF(AND(C81&gt;=60000,C81&lt;300000),17901.5+(C81-60000)*0.45,"")</f>
        <v/>
      </c>
      <c r="C95" s="5"/>
    </row>
    <row r="96" spans="1:9" x14ac:dyDescent="0.45">
      <c r="B96" s="5" t="str">
        <f>IF(C81&gt;300000,125901.5+(C81-300000)*0.47,"")</f>
        <v/>
      </c>
      <c r="C96" s="5"/>
    </row>
    <row r="97" spans="2:3" x14ac:dyDescent="0.45">
      <c r="B97" s="5" t="s">
        <v>254</v>
      </c>
      <c r="C97" s="39">
        <f>IF(AND(C34&gt;0,L48-C34&gt;0),C90+C82,C107)</f>
        <v>9281.1955999999991</v>
      </c>
    </row>
    <row r="98" spans="2:3" x14ac:dyDescent="0.45">
      <c r="B98" s="5" t="s">
        <v>255</v>
      </c>
      <c r="C98" s="40">
        <f>IF(AND(C34&gt;0,L48-C34&gt;0),L47+1980,L47)</f>
        <v>16100</v>
      </c>
    </row>
    <row r="99" spans="2:3" x14ac:dyDescent="0.45">
      <c r="B99" s="5" t="s">
        <v>256</v>
      </c>
      <c r="C99" s="40">
        <f>MAX(B100:B105)</f>
        <v>3241.5</v>
      </c>
    </row>
    <row r="100" spans="2:3" x14ac:dyDescent="0.45">
      <c r="B100" s="5" t="str">
        <f>IF(C98&lt;12450,0+(C98)*0.19,"")</f>
        <v/>
      </c>
      <c r="C100" s="5"/>
    </row>
    <row r="101" spans="2:3" x14ac:dyDescent="0.45">
      <c r="B101" s="5">
        <f>IF(AND(C98&gt;=12450,C98&lt;20200),2365.5+(C98-12450)*0.24,"")</f>
        <v>3241.5</v>
      </c>
      <c r="C101" s="5"/>
    </row>
    <row r="102" spans="2:3" x14ac:dyDescent="0.45">
      <c r="B102" s="5" t="str">
        <f>IF(AND(C98&gt;=20200,C98&lt;35200),4225.5+(C98-20200)*0.3,"")</f>
        <v/>
      </c>
      <c r="C102" s="5"/>
    </row>
    <row r="103" spans="2:3" x14ac:dyDescent="0.45">
      <c r="B103" s="5" t="str">
        <f>IF(AND(C98&gt;=35200,C98&lt;60000),8725.5+(C98-35200)*0.37,"")</f>
        <v/>
      </c>
      <c r="C103" s="5"/>
    </row>
    <row r="104" spans="2:3" x14ac:dyDescent="0.45">
      <c r="B104" s="5" t="str">
        <f>IF(AND(C98&gt;=60000,C98&lt;300000),17901.5+(C98-60000)*0.45,"")</f>
        <v/>
      </c>
      <c r="C104" s="5"/>
    </row>
    <row r="105" spans="2:3" x14ac:dyDescent="0.45">
      <c r="B105" s="5" t="str">
        <f>IF(C98&gt;300000,125901.5+(C98-300000)*0.47,"")</f>
        <v/>
      </c>
      <c r="C105" s="5"/>
    </row>
    <row r="106" spans="2:3" x14ac:dyDescent="0.45">
      <c r="B106" s="5" t="s">
        <v>257</v>
      </c>
      <c r="C106" s="41">
        <f>IF(C97&gt;C99,C97-C99,L59)</f>
        <v>6039.6955999999991</v>
      </c>
    </row>
    <row r="107" spans="2:3" x14ac:dyDescent="0.45">
      <c r="B107" s="5" t="s">
        <v>258</v>
      </c>
      <c r="C107" s="40">
        <f>MAX(B108:B114)</f>
        <v>9281.1955999999991</v>
      </c>
    </row>
    <row r="108" spans="2:3" x14ac:dyDescent="0.45">
      <c r="B108" s="5" t="str">
        <f>IF(L48&lt;12450,0+(L48)*0.19,"")</f>
        <v/>
      </c>
      <c r="C108" s="5"/>
    </row>
    <row r="109" spans="2:3" x14ac:dyDescent="0.45">
      <c r="B109" s="5" t="str">
        <f>IF(AND(L48&gt;=12450,L48&lt;20200),2365.5+(L48-12450)*0.24,"")</f>
        <v/>
      </c>
      <c r="C109" s="5"/>
    </row>
    <row r="110" spans="2:3" x14ac:dyDescent="0.45">
      <c r="B110" s="5" t="str">
        <f>IF(AND(L48&gt;=20200,L48&lt;35200),4225.5+(L48-20200)*0.3,"")</f>
        <v/>
      </c>
      <c r="C110" s="5"/>
    </row>
    <row r="111" spans="2:3" x14ac:dyDescent="0.45">
      <c r="B111" s="5">
        <f>IF(AND(L48&gt;=35200,L48&lt;60000),8725.5+(L48-35200)*0.37,"")</f>
        <v>9281.1955999999991</v>
      </c>
      <c r="C111" s="5"/>
    </row>
    <row r="112" spans="2:3" x14ac:dyDescent="0.45">
      <c r="B112" s="5" t="str">
        <f>IF(AND(L48&gt;=60000,L48&lt;300000),17901.5+(L48-60000)*0.45,"")</f>
        <v/>
      </c>
      <c r="C112" s="5"/>
    </row>
    <row r="113" spans="2:3" x14ac:dyDescent="0.45">
      <c r="B113" s="5" t="str">
        <f>IF(L48&gt;300000,125901.5+(L48-300000)*0.47,"")</f>
        <v/>
      </c>
      <c r="C113" s="5"/>
    </row>
    <row r="114" spans="2:3" x14ac:dyDescent="0.45">
      <c r="B114" s="5"/>
      <c r="C114" s="5"/>
    </row>
    <row r="115" spans="2:3" x14ac:dyDescent="0.45">
      <c r="B115" s="5"/>
      <c r="C115" s="5"/>
    </row>
    <row r="116" spans="2:3" x14ac:dyDescent="0.45">
      <c r="B116" s="5" t="s">
        <v>259</v>
      </c>
      <c r="C116" s="5"/>
    </row>
    <row r="117" spans="2:3" x14ac:dyDescent="0.45">
      <c r="B117" s="5" t="s">
        <v>261</v>
      </c>
      <c r="C117" s="5"/>
    </row>
    <row r="118" spans="2:3" x14ac:dyDescent="0.45">
      <c r="B118" s="5" t="s">
        <v>260</v>
      </c>
      <c r="C118" s="5"/>
    </row>
    <row r="119" spans="2:3" x14ac:dyDescent="0.45">
      <c r="B119" s="5">
        <f>IF(AND(L35&lt;=35200,C68=1,C35=1),(L35-(17270+C118+C119))*0.43,0)</f>
        <v>0</v>
      </c>
      <c r="C119" s="5"/>
    </row>
    <row r="120" spans="2:3" x14ac:dyDescent="0.45">
      <c r="B120" s="5">
        <f>IF(AND(L35&lt;=35200,C68=1,C35&gt;1),(L35-(18617+C118+C119))*0.43,0)</f>
        <v>0</v>
      </c>
      <c r="C120" s="5"/>
    </row>
    <row r="121" spans="2:3" x14ac:dyDescent="0.45">
      <c r="B121" s="5">
        <f>IF(AND(L35&lt;=35200,C68=2,C35=0),(L35-(16696+C118+C119))*0.43,0)</f>
        <v>0</v>
      </c>
      <c r="C121" s="5"/>
    </row>
    <row r="122" spans="2:3" x14ac:dyDescent="0.45">
      <c r="B122" s="5">
        <f>IF(AND(L35&lt;=35200,C68=2,C35=1),(L35-(17894+C118+C119))*0.43,0)</f>
        <v>0</v>
      </c>
      <c r="C122" s="5"/>
    </row>
    <row r="123" spans="2:3" x14ac:dyDescent="0.45">
      <c r="B123" s="5">
        <f>IF(AND(L35&lt;=35200,C68=2,C35&gt;1),(L35-(19241+C118+C119))*0.43,0)</f>
        <v>0</v>
      </c>
      <c r="C123" s="5"/>
    </row>
    <row r="124" spans="2:3" x14ac:dyDescent="0.45">
      <c r="B124" s="5">
        <f>IF(AND(L35&lt;=35200,C68=3,C35=0),(L35-(15000+C118+C119))*0.43,0)</f>
        <v>0</v>
      </c>
      <c r="C124" s="5"/>
    </row>
    <row r="125" spans="2:3" x14ac:dyDescent="0.45">
      <c r="B125" s="5">
        <f>IF(AND(L35&lt;=35200,C68=3,C35=1),(L35-(15599+C118+C119))*0.43,0)</f>
        <v>0</v>
      </c>
      <c r="C125" s="5"/>
    </row>
    <row r="126" spans="2:3" x14ac:dyDescent="0.45">
      <c r="B126" s="5">
        <f>IF(AND(L35&lt;=35200,C68=3,C35&gt;1),(L35-(16272+C118+C119))*0.43,0)</f>
        <v>0</v>
      </c>
      <c r="C126" s="5"/>
    </row>
    <row r="127" spans="2:3" x14ac:dyDescent="0.45">
      <c r="B127" s="5" t="s">
        <v>263</v>
      </c>
      <c r="C127" s="5" t="str">
        <f>IF(MAX(B119:B126)&gt;0,"Sí","No")</f>
        <v>No</v>
      </c>
    </row>
    <row r="128" spans="2:3" x14ac:dyDescent="0.45">
      <c r="B128" s="5" t="s">
        <v>264</v>
      </c>
      <c r="C128" s="5">
        <f>MAX(B119:B126)</f>
        <v>0</v>
      </c>
    </row>
    <row r="129" spans="2:3" x14ac:dyDescent="0.45">
      <c r="B129" s="5" t="s">
        <v>262</v>
      </c>
      <c r="C129" s="41">
        <f>IF(C127="No",C106,IF(C106&gt;C128,C128,C106))</f>
        <v>6039.6955999999991</v>
      </c>
    </row>
    <row r="130" spans="2:3" x14ac:dyDescent="0.45">
      <c r="B130" s="5"/>
      <c r="C130" s="5"/>
    </row>
    <row r="131" spans="2:3" x14ac:dyDescent="0.45">
      <c r="B131" s="5"/>
      <c r="C131" s="5"/>
    </row>
    <row r="132" spans="2:3" x14ac:dyDescent="0.45">
      <c r="B132" s="5"/>
      <c r="C132" s="5"/>
    </row>
    <row r="133" spans="2:3" x14ac:dyDescent="0.45">
      <c r="B133" s="5"/>
      <c r="C133" s="5"/>
    </row>
    <row r="134" spans="2:3" x14ac:dyDescent="0.45">
      <c r="B134" s="5"/>
      <c r="C134" s="5"/>
    </row>
    <row r="135" spans="2:3" x14ac:dyDescent="0.45">
      <c r="B135" s="5"/>
      <c r="C135" s="5"/>
    </row>
    <row r="136" spans="2:3" x14ac:dyDescent="0.45">
      <c r="B136" s="5"/>
      <c r="C136" s="5"/>
    </row>
    <row r="137" spans="2:3" x14ac:dyDescent="0.45">
      <c r="B137" s="5"/>
      <c r="C137" s="5"/>
    </row>
  </sheetData>
  <sheetProtection algorithmName="SHA-512" hashValue="39reQO9Beqmgn3uy+WgllhBP/GejG7khND/DJIsd8F2WFIO3Df6UMkT4iNQqxMZny2bBeSkLzonZ3BmXHYI1yw==" saltValue="d983uV0a6ukPg8ubjkAucw==" spinCount="100000" sheet="1" objects="1" scenarios="1"/>
  <mergeCells count="12">
    <mergeCell ref="M4:M5"/>
    <mergeCell ref="B28:C28"/>
    <mergeCell ref="B69:C69"/>
    <mergeCell ref="B3:C3"/>
    <mergeCell ref="J3:K3"/>
    <mergeCell ref="J4:K5"/>
    <mergeCell ref="L4:L5"/>
    <mergeCell ref="B31:C31"/>
    <mergeCell ref="B41:B43"/>
    <mergeCell ref="C41:C43"/>
    <mergeCell ref="B44:B46"/>
    <mergeCell ref="C44:C46"/>
  </mergeCells>
  <dataValidations count="18">
    <dataValidation type="list" allowBlank="1" showInputMessage="1" showErrorMessage="1" sqref="B69">
      <formula1>$A$68:$A$70</formula1>
    </dataValidation>
    <dataValidation type="list" allowBlank="1" showInputMessage="1" showErrorMessage="1" sqref="C38 C55 C50 C60 C65">
      <formula1>$A$38:$A$42</formula1>
    </dataValidation>
    <dataValidation type="whole" allowBlank="1" showInputMessage="1" showErrorMessage="1" sqref="C44">
      <formula1>0</formula1>
      <formula2>C40</formula2>
    </dataValidation>
    <dataValidation type="whole" allowBlank="1" showInputMessage="1" showErrorMessage="1" sqref="C52 C62 C57 C67">
      <formula1>0</formula1>
      <formula2>20</formula2>
    </dataValidation>
    <dataValidation type="whole" allowBlank="1" showInputMessage="1" showErrorMessage="1" sqref="C49 C59 C54 C64">
      <formula1>18</formula1>
      <formula2>130</formula2>
    </dataValidation>
    <dataValidation type="whole" allowBlank="1" showInputMessage="1" showErrorMessage="1" sqref="C36 C40:C41">
      <formula1>0</formula1>
      <formula2>C35</formula2>
    </dataValidation>
    <dataValidation type="whole" allowBlank="1" showInputMessage="1" showErrorMessage="1" sqref="C35">
      <formula1>0</formula1>
      <formula2>100</formula2>
    </dataValidation>
    <dataValidation type="list" allowBlank="1" showInputMessage="1" showErrorMessage="1" sqref="C29">
      <formula1>$A$35:$A$37</formula1>
    </dataValidation>
    <dataValidation type="whole" allowBlank="1" showInputMessage="1" showErrorMessage="1" sqref="C30">
      <formula1>1980</formula1>
      <formula2>2023</formula2>
    </dataValidation>
    <dataValidation type="whole" allowBlank="1" showInputMessage="1" showErrorMessage="1" sqref="C27">
      <formula1>0</formula1>
      <formula2>10000</formula2>
    </dataValidation>
    <dataValidation type="whole" allowBlank="1" showInputMessage="1" showErrorMessage="1" sqref="C25">
      <formula1>0</formula1>
      <formula2>30</formula2>
    </dataValidation>
    <dataValidation type="list" allowBlank="1" showInputMessage="1" showErrorMessage="1" sqref="C26 C47 C61 C56 C15:C24 C51 C39 C37 C32 C66">
      <formula1>$H$13:$H$14</formula1>
    </dataValidation>
    <dataValidation type="list" allowBlank="1" showInputMessage="1" showErrorMessage="1" sqref="C14">
      <formula1>$F$13:$F$18</formula1>
    </dataValidation>
    <dataValidation type="list" allowBlank="1" showInputMessage="1" showErrorMessage="1" sqref="C13">
      <formula1>$D$13:$D$20</formula1>
    </dataValidation>
    <dataValidation type="decimal" allowBlank="1" showInputMessage="1" showErrorMessage="1" sqref="C4:C5">
      <formula1>0</formula1>
      <formula2>100</formula2>
    </dataValidation>
    <dataValidation type="whole" allowBlank="1" showInputMessage="1" showErrorMessage="1" sqref="C12">
      <formula1>0</formula1>
      <formula2>5</formula2>
    </dataValidation>
    <dataValidation type="whole" allowBlank="1" showInputMessage="1" showErrorMessage="1" sqref="C6:C10">
      <formula1>0</formula1>
      <formula2>14</formula2>
    </dataValidation>
    <dataValidation type="list" allowBlank="1" showInputMessage="1" showErrorMessage="1" sqref="C11">
      <formula1>$D$5:$D$6</formula1>
    </dataValidation>
  </dataValidations>
  <hyperlinks>
    <hyperlink ref="B2" location="Inicio!A1" display="Ir a inicio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7"/>
  <sheetViews>
    <sheetView showRowColHeaders="0" zoomScaleNormal="100" workbookViewId="0">
      <selection activeCell="B2" sqref="B2"/>
    </sheetView>
  </sheetViews>
  <sheetFormatPr baseColWidth="10" defaultRowHeight="14.25" x14ac:dyDescent="0.45"/>
  <cols>
    <col min="1" max="1" width="0.53125" style="4" customWidth="1"/>
    <col min="2" max="2" width="55.86328125" style="4" customWidth="1"/>
    <col min="3" max="3" width="26.19921875" style="4" customWidth="1"/>
    <col min="4" max="4" width="2.265625" style="24" customWidth="1"/>
    <col min="5" max="5" width="1" style="24" customWidth="1"/>
    <col min="6" max="6" width="0.796875" style="24" hidden="1" customWidth="1"/>
    <col min="7" max="7" width="6.640625E-2" style="24" hidden="1" customWidth="1"/>
    <col min="8" max="8" width="6.19921875" style="24" hidden="1" customWidth="1"/>
    <col min="9" max="9" width="1.1328125" style="4" customWidth="1"/>
    <col min="10" max="10" width="10.6640625" style="4"/>
    <col min="11" max="11" width="41.33203125" style="4" customWidth="1"/>
    <col min="12" max="12" width="17.73046875" style="4" customWidth="1"/>
    <col min="13" max="13" width="17.9296875" style="4" customWidth="1"/>
    <col min="14" max="14" width="5.3984375" style="4" customWidth="1"/>
    <col min="15" max="15" width="4.73046875" style="4" customWidth="1"/>
    <col min="16" max="16384" width="10.6640625" style="4"/>
  </cols>
  <sheetData>
    <row r="1" spans="1:29" ht="118.5" customHeight="1" thickBot="1" x14ac:dyDescent="0.5">
      <c r="O1"/>
    </row>
    <row r="2" spans="1:29" ht="19.149999999999999" customHeight="1" thickBot="1" x14ac:dyDescent="0.5">
      <c r="B2" s="96" t="s">
        <v>293</v>
      </c>
      <c r="L2" s="33" t="s">
        <v>241</v>
      </c>
      <c r="M2" s="34" t="s">
        <v>172</v>
      </c>
      <c r="Q2" s="24"/>
      <c r="R2" s="24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8.25" customHeight="1" thickBot="1" x14ac:dyDescent="0.7">
      <c r="B3" s="158" t="s">
        <v>240</v>
      </c>
      <c r="C3" s="159"/>
      <c r="J3" s="160" t="s">
        <v>227</v>
      </c>
      <c r="K3" s="161"/>
      <c r="L3" s="84">
        <f>L4-SUM(L27:L31)</f>
        <v>2131.006657242388</v>
      </c>
      <c r="M3" s="84">
        <f>M4-SUM(M27:M31)</f>
        <v>1967.2238385456717</v>
      </c>
      <c r="Q3" s="24"/>
      <c r="R3" s="24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8.399999999999999" customHeight="1" thickBot="1" x14ac:dyDescent="0.5">
      <c r="A4" s="24"/>
      <c r="B4" s="26" t="s">
        <v>274</v>
      </c>
      <c r="C4" s="49">
        <v>100</v>
      </c>
      <c r="D4" s="50" t="s">
        <v>140</v>
      </c>
      <c r="J4" s="162" t="s">
        <v>121</v>
      </c>
      <c r="K4" s="163"/>
      <c r="L4" s="152">
        <f>SUM(L6:L25)</f>
        <v>3029.58</v>
      </c>
      <c r="M4" s="152">
        <f>SUM(M6:M25)</f>
        <v>2531.46</v>
      </c>
      <c r="Q4" s="24"/>
      <c r="R4" s="24"/>
      <c r="S4" s="5"/>
      <c r="T4" s="5" t="s">
        <v>122</v>
      </c>
      <c r="U4" s="5"/>
      <c r="V4" s="5">
        <f>$C$6*Datos!G15</f>
        <v>0</v>
      </c>
      <c r="W4" s="5">
        <f>$C$6*Datos!G16</f>
        <v>0</v>
      </c>
      <c r="X4" s="5"/>
      <c r="Y4" s="5"/>
      <c r="Z4" s="5"/>
      <c r="AA4" s="5"/>
      <c r="AB4" s="5"/>
      <c r="AC4" s="5"/>
    </row>
    <row r="5" spans="1:29" ht="18.399999999999999" customHeight="1" thickBot="1" x14ac:dyDescent="0.5">
      <c r="A5" s="24"/>
      <c r="B5" s="26" t="s">
        <v>163</v>
      </c>
      <c r="C5" s="48"/>
      <c r="D5" s="5" t="s">
        <v>285</v>
      </c>
      <c r="E5" s="5"/>
      <c r="F5" s="5"/>
      <c r="G5" s="5"/>
      <c r="H5" s="5"/>
      <c r="I5" s="5"/>
      <c r="J5" s="164"/>
      <c r="K5" s="165"/>
      <c r="L5" s="153"/>
      <c r="M5" s="153"/>
      <c r="Q5" s="24"/>
      <c r="R5" s="24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x14ac:dyDescent="0.45">
      <c r="A6" s="24"/>
      <c r="B6" s="6" t="str">
        <f>T4</f>
        <v>Trienios A1</v>
      </c>
      <c r="C6" s="17">
        <v>0</v>
      </c>
      <c r="D6" s="5" t="s">
        <v>288</v>
      </c>
      <c r="E6" s="5"/>
      <c r="F6" s="5"/>
      <c r="G6" s="5"/>
      <c r="H6" s="5"/>
      <c r="I6" s="5"/>
      <c r="J6" s="63" t="s">
        <v>118</v>
      </c>
      <c r="K6" s="67"/>
      <c r="L6" s="59">
        <f>ROUND((C4/100)*Datos!G4,2)</f>
        <v>1300.8800000000001</v>
      </c>
      <c r="M6" s="59">
        <f>ROUND((C4/100)*Datos!G5,2)</f>
        <v>802.76</v>
      </c>
      <c r="Q6" s="24"/>
      <c r="R6" s="24"/>
      <c r="S6" s="5"/>
      <c r="T6" s="5" t="s">
        <v>123</v>
      </c>
      <c r="U6" s="5"/>
      <c r="V6" s="5">
        <f>$C$7*Datos!G17</f>
        <v>0</v>
      </c>
      <c r="W6" s="5">
        <f>$C$7*Datos!G18</f>
        <v>0</v>
      </c>
      <c r="X6" s="5"/>
      <c r="Y6" s="5"/>
      <c r="Z6" s="5"/>
      <c r="AA6" s="5"/>
      <c r="AB6" s="5"/>
      <c r="AC6" s="5"/>
    </row>
    <row r="7" spans="1:29" x14ac:dyDescent="0.45">
      <c r="A7" s="24"/>
      <c r="B7" s="8" t="str">
        <f t="shared" ref="B7:B10" si="0">T6</f>
        <v>Trienios A2</v>
      </c>
      <c r="C7" s="18">
        <v>0</v>
      </c>
      <c r="D7" s="5"/>
      <c r="E7" s="5"/>
      <c r="F7" s="5"/>
      <c r="G7" s="5"/>
      <c r="H7" s="5"/>
      <c r="I7" s="5"/>
      <c r="J7" s="42" t="s">
        <v>119</v>
      </c>
      <c r="K7"/>
      <c r="L7" s="60">
        <f>ROUND(($C$4/100)*Datos!G8,2)</f>
        <v>819</v>
      </c>
      <c r="M7" s="60">
        <f>L7</f>
        <v>819</v>
      </c>
      <c r="Q7" s="24"/>
      <c r="R7" s="24"/>
      <c r="S7" s="5"/>
      <c r="T7" s="5" t="s">
        <v>124</v>
      </c>
      <c r="U7" s="5"/>
      <c r="V7" s="5">
        <f>$C$8*Datos!G19</f>
        <v>0</v>
      </c>
      <c r="W7" s="5">
        <f>$C$8*Datos!G20</f>
        <v>0</v>
      </c>
      <c r="X7" s="5"/>
      <c r="Y7" s="5"/>
      <c r="Z7" s="5"/>
      <c r="AA7" s="5"/>
      <c r="AB7" s="5"/>
      <c r="AC7" s="5"/>
    </row>
    <row r="8" spans="1:29" x14ac:dyDescent="0.45">
      <c r="A8" s="24"/>
      <c r="B8" s="8" t="str">
        <f t="shared" si="0"/>
        <v>Trienios C1</v>
      </c>
      <c r="C8" s="18">
        <v>0</v>
      </c>
      <c r="D8" s="5"/>
      <c r="E8" s="5"/>
      <c r="F8" s="5"/>
      <c r="G8" s="5"/>
      <c r="H8" s="5"/>
      <c r="I8" s="5"/>
      <c r="J8" s="42" t="s">
        <v>120</v>
      </c>
      <c r="K8" s="68"/>
      <c r="L8" s="60">
        <f>ROUND(($C$4/100)*Datos!G12,2)</f>
        <v>909.7</v>
      </c>
      <c r="M8" s="60">
        <f>L8</f>
        <v>909.7</v>
      </c>
      <c r="Q8" s="24"/>
      <c r="R8" s="24"/>
      <c r="S8" s="5"/>
      <c r="T8" s="5" t="s">
        <v>125</v>
      </c>
      <c r="U8" s="5"/>
      <c r="V8" s="5">
        <f>$C$9*Datos!G21</f>
        <v>0</v>
      </c>
      <c r="W8" s="5">
        <f>$C$9*Datos!G22</f>
        <v>0</v>
      </c>
      <c r="X8" s="5"/>
      <c r="Y8" s="5"/>
      <c r="Z8" s="5"/>
      <c r="AA8" s="5"/>
      <c r="AB8" s="5"/>
      <c r="AC8" s="5"/>
    </row>
    <row r="9" spans="1:29" x14ac:dyDescent="0.45">
      <c r="A9" s="24"/>
      <c r="B9" s="8" t="str">
        <f t="shared" si="0"/>
        <v>Trienios C2</v>
      </c>
      <c r="C9" s="18">
        <v>0</v>
      </c>
      <c r="D9" s="5"/>
      <c r="E9" s="5"/>
      <c r="F9" s="5"/>
      <c r="G9" s="5"/>
      <c r="H9" s="5"/>
      <c r="I9" s="5"/>
      <c r="J9" s="42" t="s">
        <v>126</v>
      </c>
      <c r="K9" s="68"/>
      <c r="L9" s="60">
        <f>IF(SUM(C6:C10)&gt;0,ROUND(V12*C4/100,2),0)</f>
        <v>0</v>
      </c>
      <c r="M9" s="60">
        <f>W12</f>
        <v>0</v>
      </c>
      <c r="Q9" s="24"/>
      <c r="R9" s="24"/>
      <c r="S9" s="5"/>
      <c r="T9" s="5" t="s">
        <v>127</v>
      </c>
      <c r="U9" s="5"/>
      <c r="V9" s="5">
        <f>$C$10*Datos!G23</f>
        <v>0</v>
      </c>
      <c r="W9" s="5">
        <f>$C$10*Datos!G24</f>
        <v>0</v>
      </c>
      <c r="X9" s="5"/>
      <c r="Y9" s="5"/>
      <c r="Z9" s="5"/>
      <c r="AA9" s="5"/>
      <c r="AB9" s="5"/>
      <c r="AC9" s="5"/>
    </row>
    <row r="10" spans="1:29" ht="14.65" thickBot="1" x14ac:dyDescent="0.5">
      <c r="A10" s="24"/>
      <c r="B10" s="12" t="str">
        <f t="shared" si="0"/>
        <v>Trienios agrupaciones especiales</v>
      </c>
      <c r="C10" s="19">
        <v>0</v>
      </c>
      <c r="D10" s="5"/>
      <c r="E10" s="5"/>
      <c r="F10" s="5"/>
      <c r="G10" s="5"/>
      <c r="H10" s="5"/>
      <c r="I10" s="5"/>
      <c r="J10" s="42" t="s">
        <v>153</v>
      </c>
      <c r="K10" s="68"/>
      <c r="L10" s="60">
        <f>IF(C12&gt;0,ROUND(N13*C4/100,2),0)</f>
        <v>0</v>
      </c>
      <c r="M10" s="60">
        <f>L10</f>
        <v>0</v>
      </c>
      <c r="Q10" s="24"/>
      <c r="R10" s="24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4.65" thickBot="1" x14ac:dyDescent="0.5">
      <c r="A11" s="5"/>
      <c r="B11" s="133" t="s">
        <v>284</v>
      </c>
      <c r="C11" s="134" t="s">
        <v>285</v>
      </c>
      <c r="D11" s="5"/>
      <c r="E11" s="5"/>
      <c r="F11" s="5"/>
      <c r="G11" s="5"/>
      <c r="H11" s="5"/>
      <c r="I11" s="5"/>
      <c r="J11" s="42" t="s">
        <v>24</v>
      </c>
      <c r="K11" s="68"/>
      <c r="L11" s="60">
        <f>IF(C13=D14,ROUND(C4*MAX(E27:E32,G27:G32)/100,2),0)</f>
        <v>0</v>
      </c>
      <c r="M11" s="60">
        <f t="shared" ref="M11:M25" si="1">L11</f>
        <v>0</v>
      </c>
      <c r="Q11" s="24"/>
      <c r="R11" s="24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4.65" thickBot="1" x14ac:dyDescent="0.5">
      <c r="A12" s="5"/>
      <c r="B12" s="27" t="s">
        <v>129</v>
      </c>
      <c r="C12" s="20">
        <v>0</v>
      </c>
      <c r="D12" s="5" t="str">
        <f>IF(OR(C13=D14,C13=D18,C13=D19,C13=D20),D14,"")</f>
        <v/>
      </c>
      <c r="E12" s="5"/>
      <c r="F12" s="5"/>
      <c r="G12" s="5"/>
      <c r="H12" s="5"/>
      <c r="I12" s="5"/>
      <c r="J12" s="42" t="s">
        <v>39</v>
      </c>
      <c r="K12" s="68"/>
      <c r="L12" s="60">
        <f>IF(C13=D16,ROUND(C4*MAX(F27:F31,H27:H31)/100,2),0)</f>
        <v>0</v>
      </c>
      <c r="M12" s="60">
        <f t="shared" si="1"/>
        <v>0</v>
      </c>
      <c r="Q12" s="24"/>
      <c r="R12" s="24"/>
      <c r="S12" s="5"/>
      <c r="T12" s="5" t="s">
        <v>128</v>
      </c>
      <c r="U12" s="5"/>
      <c r="V12" s="5">
        <f>SUM(V4:V9)</f>
        <v>0</v>
      </c>
      <c r="W12" s="5">
        <f>SUM(W4:W9)</f>
        <v>0</v>
      </c>
      <c r="X12" s="5"/>
      <c r="Y12" s="5"/>
      <c r="Z12" s="5"/>
      <c r="AA12" s="5"/>
      <c r="AB12" s="5"/>
      <c r="AC12" s="5"/>
    </row>
    <row r="13" spans="1:29" ht="14.65" thickBot="1" x14ac:dyDescent="0.5">
      <c r="A13" s="5"/>
      <c r="B13" s="27" t="s">
        <v>280</v>
      </c>
      <c r="C13" s="20" t="s">
        <v>141</v>
      </c>
      <c r="D13" s="5" t="s">
        <v>141</v>
      </c>
      <c r="E13" s="5"/>
      <c r="F13" s="5" t="s">
        <v>27</v>
      </c>
      <c r="G13" s="5" t="s">
        <v>136</v>
      </c>
      <c r="H13" s="5" t="s">
        <v>143</v>
      </c>
      <c r="I13" s="5"/>
      <c r="J13" s="42" t="s">
        <v>40</v>
      </c>
      <c r="K13" s="68"/>
      <c r="L13" s="99">
        <f>IF(C13=D15,ROUND(C4*MAX(F27:F31,H27:H31)/100,2),0)</f>
        <v>0</v>
      </c>
      <c r="M13" s="60">
        <f t="shared" si="1"/>
        <v>0</v>
      </c>
      <c r="N13" s="5">
        <f>IF(C12=1,Datos!J26,IF(C12=2,Datos!J27,IF(C12=3,Datos!J28,IF(C12=4,Datos!J29,IF(C12=5,Datos!J30,0)))))</f>
        <v>0</v>
      </c>
      <c r="Q13" s="24"/>
      <c r="R13" s="24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4.65" thickBot="1" x14ac:dyDescent="0.5">
      <c r="A14" s="5"/>
      <c r="B14" s="27" t="s">
        <v>130</v>
      </c>
      <c r="C14" s="20"/>
      <c r="D14" s="5" t="s">
        <v>132</v>
      </c>
      <c r="E14" s="5"/>
      <c r="F14" s="5" t="s">
        <v>28</v>
      </c>
      <c r="G14" s="5" t="s">
        <v>137</v>
      </c>
      <c r="H14" s="5" t="s">
        <v>144</v>
      </c>
      <c r="I14" s="5"/>
      <c r="J14" s="42" t="s">
        <v>154</v>
      </c>
      <c r="K14" s="68"/>
      <c r="L14" s="60">
        <f>IF(C13=D17,ROUND(Datos!G77*'Catedráticos Conservatorios'!C4/100,2),0)</f>
        <v>0</v>
      </c>
      <c r="M14" s="60">
        <f t="shared" si="1"/>
        <v>0</v>
      </c>
      <c r="Q14" s="24"/>
      <c r="R14" s="24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4.65" thickBot="1" x14ac:dyDescent="0.5">
      <c r="A15" s="5"/>
      <c r="B15" s="27" t="s">
        <v>53</v>
      </c>
      <c r="C15" s="20" t="s">
        <v>144</v>
      </c>
      <c r="D15" s="5" t="s">
        <v>133</v>
      </c>
      <c r="E15" s="5"/>
      <c r="F15" s="5" t="s">
        <v>29</v>
      </c>
      <c r="G15" s="5" t="s">
        <v>138</v>
      </c>
      <c r="H15" s="5"/>
      <c r="I15" s="5"/>
      <c r="J15" s="42" t="s">
        <v>279</v>
      </c>
      <c r="K15" s="68"/>
      <c r="L15" s="60">
        <f>IF(D21&gt;0,ROUND(C4*MAX(E27:E33,G27:G33)*D21/100,2),0)</f>
        <v>0</v>
      </c>
      <c r="M15" s="60">
        <f t="shared" si="1"/>
        <v>0</v>
      </c>
      <c r="Q15" s="24"/>
      <c r="R15" s="24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.1499999999999999" hidden="1" customHeight="1" thickBot="1" x14ac:dyDescent="0.5">
      <c r="A16" s="5"/>
      <c r="B16" s="27" t="s">
        <v>324</v>
      </c>
      <c r="C16" s="20" t="s">
        <v>144</v>
      </c>
      <c r="D16" s="5" t="s">
        <v>134</v>
      </c>
      <c r="E16" s="5"/>
      <c r="F16" s="5" t="s">
        <v>30</v>
      </c>
      <c r="G16" s="5" t="s">
        <v>139</v>
      </c>
      <c r="H16" s="5" t="s">
        <v>144</v>
      </c>
      <c r="I16" s="5"/>
      <c r="J16" s="42" t="str">
        <f>B17</f>
        <v>-</v>
      </c>
      <c r="K16" s="68"/>
      <c r="L16" s="60">
        <f>IF(C17="Sí",ROUND(Datos!G86*'Catedráticos Conservatorios'!C4/100,2),0)</f>
        <v>0</v>
      </c>
      <c r="M16" s="60">
        <f t="shared" si="1"/>
        <v>0</v>
      </c>
      <c r="Q16" s="24"/>
      <c r="R16" s="24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3.9" hidden="1" customHeight="1" thickBot="1" x14ac:dyDescent="0.5">
      <c r="A17" s="5"/>
      <c r="B17" s="27" t="s">
        <v>324</v>
      </c>
      <c r="C17" s="20" t="s">
        <v>144</v>
      </c>
      <c r="D17" s="5" t="s">
        <v>142</v>
      </c>
      <c r="E17" s="5"/>
      <c r="F17" s="5" t="s">
        <v>31</v>
      </c>
      <c r="G17" s="5"/>
      <c r="H17" s="5" t="s">
        <v>145</v>
      </c>
      <c r="I17" s="5"/>
      <c r="J17" s="42" t="str">
        <f>B18</f>
        <v>.</v>
      </c>
      <c r="K17" s="68"/>
      <c r="L17" s="60">
        <f>IF(C18="Sí",ROUND(Datos!G87*'Catedráticos Conservatorios'!C4/100,2),0)</f>
        <v>0</v>
      </c>
      <c r="M17" s="60">
        <f t="shared" si="1"/>
        <v>0</v>
      </c>
      <c r="Q17" s="24"/>
      <c r="R17" s="24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14.65" hidden="1" thickBot="1" x14ac:dyDescent="0.5">
      <c r="A18" s="5"/>
      <c r="B18" s="27" t="s">
        <v>325</v>
      </c>
      <c r="C18" s="20" t="s">
        <v>144</v>
      </c>
      <c r="D18" s="5" t="s">
        <v>281</v>
      </c>
      <c r="E18" s="5"/>
      <c r="F18" s="5" t="s">
        <v>32</v>
      </c>
      <c r="G18" s="5"/>
      <c r="H18" s="5" t="s">
        <v>146</v>
      </c>
      <c r="I18" s="5"/>
      <c r="J18" s="42" t="str">
        <f>B19</f>
        <v>.</v>
      </c>
      <c r="K18" s="68"/>
      <c r="L18" s="60">
        <f>IF(C19="Sí",ROUND(Datos!G89*'Catedráticos Conservatorios'!C4/100,2),0)</f>
        <v>0</v>
      </c>
      <c r="M18" s="60">
        <f t="shared" si="1"/>
        <v>0</v>
      </c>
      <c r="Q18" s="24"/>
      <c r="R18" s="24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idden="1" x14ac:dyDescent="0.45">
      <c r="A19" s="5"/>
      <c r="B19" s="28" t="s">
        <v>325</v>
      </c>
      <c r="C19" s="114" t="s">
        <v>144</v>
      </c>
      <c r="D19" s="5" t="s">
        <v>282</v>
      </c>
      <c r="E19" s="5"/>
      <c r="F19" s="5"/>
      <c r="G19" s="5"/>
      <c r="H19" s="5" t="s">
        <v>147</v>
      </c>
      <c r="I19" s="5"/>
      <c r="J19" s="42" t="str">
        <f>B20</f>
        <v>.</v>
      </c>
      <c r="K19" s="68"/>
      <c r="L19" s="60">
        <f>IF(C20="Sí",ROUND(Datos!G90*'Catedráticos Conservatorios'!C4/100,2),0)</f>
        <v>0</v>
      </c>
      <c r="M19" s="60">
        <f t="shared" si="1"/>
        <v>0</v>
      </c>
      <c r="Q19" s="24"/>
      <c r="R19" s="24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15.75" customHeight="1" x14ac:dyDescent="0.45">
      <c r="A20" s="5"/>
      <c r="B20" s="133" t="s">
        <v>325</v>
      </c>
      <c r="C20" s="134" t="s">
        <v>144</v>
      </c>
      <c r="D20" s="5" t="s">
        <v>283</v>
      </c>
      <c r="E20" s="5"/>
      <c r="F20" s="5"/>
      <c r="G20" s="5"/>
      <c r="H20" s="5"/>
      <c r="I20" s="5"/>
      <c r="J20" s="42" t="s">
        <v>53</v>
      </c>
      <c r="K20" s="68"/>
      <c r="L20" s="60">
        <f>IF(C15="Sí",ROUND(Datos!G91*'Catedráticos Conservatorios'!C4/100,2),0)</f>
        <v>0</v>
      </c>
      <c r="M20" s="60">
        <f t="shared" si="1"/>
        <v>0</v>
      </c>
      <c r="Q20" s="24"/>
      <c r="R20" s="24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0.4" hidden="1" customHeight="1" thickBot="1" x14ac:dyDescent="0.5">
      <c r="A21" s="5"/>
      <c r="B21" s="133" t="s">
        <v>325</v>
      </c>
      <c r="C21" s="134" t="s">
        <v>144</v>
      </c>
      <c r="D21" s="5">
        <f>IF(C13=D18,0.25,IF(C13=D19,0.4,IF(C13=D20,0.6,0)))</f>
        <v>0</v>
      </c>
      <c r="E21" s="5"/>
      <c r="F21" s="5"/>
      <c r="G21" s="5"/>
      <c r="H21" s="5"/>
      <c r="I21" s="5"/>
      <c r="J21" s="42" t="s">
        <v>276</v>
      </c>
      <c r="K21" s="68"/>
      <c r="L21" s="60">
        <f>IF(C22="Sí",ROUND(Datos!G97*'Catedráticos Conservatorios'!C4/100,2),0)</f>
        <v>0</v>
      </c>
      <c r="M21" s="60">
        <f t="shared" si="1"/>
        <v>0</v>
      </c>
      <c r="Q21" s="24"/>
      <c r="R21" s="24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3.75" hidden="1" customHeight="1" thickBot="1" x14ac:dyDescent="0.5">
      <c r="A22" s="5"/>
      <c r="B22" s="133" t="s">
        <v>325</v>
      </c>
      <c r="C22" s="134" t="s">
        <v>144</v>
      </c>
      <c r="D22" s="5"/>
      <c r="E22" s="5"/>
      <c r="F22" s="5"/>
      <c r="G22" s="5"/>
      <c r="H22" s="5"/>
      <c r="I22" s="5"/>
      <c r="J22" s="42" t="s">
        <v>158</v>
      </c>
      <c r="K22" s="68"/>
      <c r="L22" s="60">
        <f>IF(C23="Sí",ROUND(C4*SUM(D23:D25)/100,2),0)</f>
        <v>0</v>
      </c>
      <c r="M22" s="60">
        <f>L22</f>
        <v>0</v>
      </c>
      <c r="Q22" s="24"/>
      <c r="R22" s="24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idden="1" x14ac:dyDescent="0.45">
      <c r="A23" s="5"/>
      <c r="B23" s="133" t="s">
        <v>325</v>
      </c>
      <c r="C23" s="134" t="s">
        <v>144</v>
      </c>
      <c r="D23" s="5">
        <f>IF(C23="No",0,Datos!G102)</f>
        <v>0</v>
      </c>
      <c r="E23" s="5"/>
      <c r="F23" s="5"/>
      <c r="G23" s="5"/>
      <c r="H23" s="5"/>
      <c r="I23" s="5"/>
      <c r="J23" s="42" t="s">
        <v>159</v>
      </c>
      <c r="K23" s="68"/>
      <c r="L23" s="60">
        <f>IF(C26="Sí",ROUND(C4*MIN(D27:D36)/100,2),0)</f>
        <v>0</v>
      </c>
      <c r="M23" s="60">
        <f>L23</f>
        <v>0</v>
      </c>
      <c r="Q23" s="24"/>
      <c r="R23" s="24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2.4" hidden="1" customHeight="1" thickBot="1" x14ac:dyDescent="0.5">
      <c r="A24" s="5"/>
      <c r="B24" s="136" t="s">
        <v>324</v>
      </c>
      <c r="C24" s="134" t="s">
        <v>144</v>
      </c>
      <c r="D24" s="5">
        <f>IF(AND(C23="Sí",C24="Sí"),Datos!G103,0)</f>
        <v>0</v>
      </c>
      <c r="E24" s="5"/>
      <c r="F24" s="5"/>
      <c r="G24" s="5"/>
      <c r="H24" s="5"/>
      <c r="I24" s="5"/>
      <c r="K24" s="69"/>
      <c r="L24" s="60">
        <f>IF(D21&gt;0,ROUND(C4*MAX(E27:E33,G27:G33)*D21/100,2),0)</f>
        <v>0</v>
      </c>
      <c r="M24" s="60">
        <f>L24</f>
        <v>0</v>
      </c>
      <c r="Q24" s="24"/>
      <c r="R24" s="24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3.75" hidden="1" customHeight="1" thickBot="1" x14ac:dyDescent="0.5">
      <c r="A25" s="5"/>
      <c r="B25" s="136" t="s">
        <v>324</v>
      </c>
      <c r="C25" s="134">
        <v>0</v>
      </c>
      <c r="D25" s="5">
        <f>IF(C23="Sí",C25*Datos!G104,0)</f>
        <v>0</v>
      </c>
      <c r="E25" s="5"/>
      <c r="F25" s="5"/>
      <c r="G25" s="5"/>
      <c r="H25" s="5"/>
      <c r="I25" s="5"/>
      <c r="J25" s="61"/>
      <c r="K25" s="70"/>
      <c r="L25" s="62">
        <f>IF(C21="Sí",ROUND(Datos!G92*C4/100,2),0)</f>
        <v>0</v>
      </c>
      <c r="M25" s="62">
        <f t="shared" si="1"/>
        <v>0</v>
      </c>
      <c r="Q25" s="24"/>
      <c r="R25" s="24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x14ac:dyDescent="0.45">
      <c r="A26" s="5"/>
      <c r="B26" s="133" t="s">
        <v>151</v>
      </c>
      <c r="C26" s="134" t="s">
        <v>144</v>
      </c>
      <c r="D26" s="5"/>
      <c r="E26" s="5" t="s">
        <v>131</v>
      </c>
      <c r="F26" s="5" t="s">
        <v>160</v>
      </c>
      <c r="G26" s="5" t="s">
        <v>286</v>
      </c>
      <c r="H26" s="5" t="s">
        <v>287</v>
      </c>
      <c r="I26" s="5"/>
      <c r="J26" s="64" t="s">
        <v>168</v>
      </c>
      <c r="K26" s="65"/>
      <c r="L26" s="66"/>
      <c r="M26" s="65"/>
      <c r="Q26" s="24"/>
      <c r="R26" s="24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x14ac:dyDescent="0.45">
      <c r="A27" s="5"/>
      <c r="B27" s="136" t="s">
        <v>152</v>
      </c>
      <c r="C27" s="134">
        <v>0</v>
      </c>
      <c r="D27" s="5">
        <f>IF($C$27&lt;=50,Datos!G107,"")</f>
        <v>16.559999999999999</v>
      </c>
      <c r="E27" s="5" t="str">
        <f>IF(AND(C11=D5,$D12=$D$14,$C$14=F13),Datos!G64,"")</f>
        <v/>
      </c>
      <c r="F27" s="5" t="str">
        <f>IF(AND(OR($C$13=$D$15,$C$13=$D$16),$C$14=F13,C11=D5),Datos!G68,"")</f>
        <v/>
      </c>
      <c r="G27" s="5" t="str">
        <f>IF(AND(C11=D6,$D12=$D$14,$C$14=F13),Datos!G32,"")</f>
        <v/>
      </c>
      <c r="H27" s="5" t="str">
        <f>IF(AND(OR($C$13=$D$15,$C$13=$D$16),$C$14=F13,C11=D6),Datos!G38,"")</f>
        <v/>
      </c>
      <c r="I27" s="5"/>
      <c r="J27" s="9" t="s">
        <v>237</v>
      </c>
      <c r="K27" s="46"/>
      <c r="L27" s="22">
        <f>IF(OR(C29="Funcionario/a de carrera",C29="Funcionario/a en prácticas"),51.68,0)</f>
        <v>0</v>
      </c>
      <c r="M27" s="56">
        <f>L27</f>
        <v>0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4.65" thickBot="1" x14ac:dyDescent="0.5">
      <c r="A28" s="5"/>
      <c r="B28" s="154" t="s">
        <v>239</v>
      </c>
      <c r="C28" s="155"/>
      <c r="D28" s="5">
        <f>IF($C$27&lt;=100,Datos!G108,"")</f>
        <v>33.119999999999997</v>
      </c>
      <c r="E28" s="5" t="str">
        <f>IF(AND(C11=D5,$D$12=$D$14,$C$14=F14),Datos!G65,"")</f>
        <v/>
      </c>
      <c r="F28" s="5" t="str">
        <f>IF(AND(OR($C$13=$D$15,$C$13=$D$16),$C$14=F14,C11=D5),Datos!G69,"")</f>
        <v/>
      </c>
      <c r="G28" s="5" t="str">
        <f>IF(AND(C11=D6,$D12=$D$14,$C$14=F14),Datos!G33,"")</f>
        <v/>
      </c>
      <c r="H28" s="5" t="str">
        <f>IF(AND(OR($C$13=$D$15,$C$13=$D$16),$C$14=F14,C11=D6),Datos!G39,"")</f>
        <v/>
      </c>
      <c r="I28" s="5"/>
      <c r="J28" s="9" t="s">
        <v>238</v>
      </c>
      <c r="K28" s="46"/>
      <c r="L28" s="22">
        <f>IF(AND(L27&gt;0,C30&lt;2011,C30&gt;0),118.04,0)</f>
        <v>0</v>
      </c>
      <c r="M28" s="56">
        <f>L28</f>
        <v>0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4.65" thickBot="1" x14ac:dyDescent="0.5">
      <c r="A29" s="5"/>
      <c r="B29" s="27" t="s">
        <v>164</v>
      </c>
      <c r="C29" s="20" t="s">
        <v>167</v>
      </c>
      <c r="D29" s="5">
        <f>IF($C$27&lt;=150,Datos!G109,"")</f>
        <v>49.68</v>
      </c>
      <c r="E29" s="5" t="str">
        <f>IF(AND(C11=D5,$D$12=$D$14,$C$14=F15),Datos!G66,"")</f>
        <v/>
      </c>
      <c r="F29" s="5" t="str">
        <f>IF(AND(OR($C$13=$D$15,$C$13=$D$16),$C$14=F15,C11=D5),Datos!G70,"")</f>
        <v/>
      </c>
      <c r="G29" s="5" t="str">
        <f>IF(AND(C11=D6,$D12=$D$14,$C$14=F15),Datos!G34,"")</f>
        <v/>
      </c>
      <c r="H29" s="5" t="str">
        <f>IF(AND(OR($C$13=$D$15,$C$13=$D$16),$C$14=F15,C11=D6),Datos!G40,"")</f>
        <v/>
      </c>
      <c r="I29" s="5"/>
      <c r="J29" s="9" t="s">
        <v>169</v>
      </c>
      <c r="K29" s="46"/>
      <c r="L29" s="22">
        <f>IF(OR(C29=A36,AND(C29=A35,C30&gt;=2011)),(L4+(M4/6))*L68,0)</f>
        <v>0</v>
      </c>
      <c r="M29" s="11">
        <v>0</v>
      </c>
      <c r="P29" s="5"/>
      <c r="Q29" s="5"/>
      <c r="R29" s="5"/>
      <c r="S29" s="5"/>
      <c r="T29" s="5"/>
      <c r="U29" s="5"/>
      <c r="V29" s="5"/>
      <c r="W29" s="5"/>
    </row>
    <row r="30" spans="1:29" ht="14.65" thickBot="1" x14ac:dyDescent="0.5">
      <c r="A30" s="5"/>
      <c r="B30" s="27" t="str">
        <f>IF(C29=A35,"¿En qué año aprobaste la oposición?","")</f>
        <v/>
      </c>
      <c r="C30" s="20"/>
      <c r="D30" s="5">
        <f>IF($C$27&lt;=200,Datos!G110,"")</f>
        <v>66.239999999999995</v>
      </c>
      <c r="E30" s="5" t="str">
        <f>IF(AND(C11=D5,$D$12=$D$14,$C$14=F16),Datos!G67,"")</f>
        <v/>
      </c>
      <c r="F30" s="5" t="str">
        <f>IF(AND(OR($C$13=$D$15,$C$13=$D$16),$C$14=F16,C11=D5),Datos!G71,"")</f>
        <v/>
      </c>
      <c r="G30" s="5" t="str">
        <f>IF(AND(C11=D6,$D12=$D$14,$C$14=F13),Datos!G35,"")</f>
        <v/>
      </c>
      <c r="H30" s="5" t="str">
        <f>IF(AND(OR($C$13=$D$15,$C$13=$D$16),$C$14=F16,C11=D6),Datos!G41,"")</f>
        <v/>
      </c>
      <c r="I30" s="5"/>
      <c r="J30" s="9" t="s">
        <v>170</v>
      </c>
      <c r="K30" s="46"/>
      <c r="L30" s="53">
        <f>IF(C29=A37,L4*0.0647+M4*0.0647/6,0)</f>
        <v>223.31140299999996</v>
      </c>
      <c r="M30" s="11">
        <v>0</v>
      </c>
      <c r="P30" s="5"/>
      <c r="Q30" s="5"/>
      <c r="R30" s="5"/>
      <c r="S30" s="5"/>
      <c r="T30" s="5"/>
      <c r="U30" s="5"/>
      <c r="V30" s="5"/>
      <c r="W30" s="5"/>
    </row>
    <row r="31" spans="1:29" ht="14.65" thickBot="1" x14ac:dyDescent="0.5">
      <c r="A31" s="5"/>
      <c r="B31" s="166" t="s">
        <v>175</v>
      </c>
      <c r="C31" s="167"/>
      <c r="D31" s="5">
        <f>IF($C$27&lt;=250,Datos!G111,"")</f>
        <v>82.8</v>
      </c>
      <c r="E31" s="5" t="str">
        <f>IF(AND($C$13=$D$14,$C$15&lt;&gt;"",$C$15&lt;&gt;$G$13,$C$14=F17),Datos!G36,"")</f>
        <v/>
      </c>
      <c r="F31" s="5"/>
      <c r="G31" s="5" t="str">
        <f>IF(AND(C11=D6,$D12=$D$14,$C$14=F16),Datos!G36,"")</f>
        <v/>
      </c>
      <c r="H31" s="5" t="str">
        <f>IF(AND(OR($C$13=$D$15,$C$13=$D$16),$C$14=F17,C11=D6),Datos!G42,"")</f>
        <v/>
      </c>
      <c r="I31" s="5"/>
      <c r="J31" s="16" t="s">
        <v>171</v>
      </c>
      <c r="K31" s="55">
        <f>L61</f>
        <v>0.2228896215837218</v>
      </c>
      <c r="L31" s="54">
        <f>L4*K31</f>
        <v>675.26193975761191</v>
      </c>
      <c r="M31" s="57">
        <f>M4*K31</f>
        <v>564.23616145432845</v>
      </c>
      <c r="O31" s="5"/>
      <c r="P31" s="5"/>
      <c r="Q31" s="5"/>
      <c r="R31" s="5"/>
      <c r="S31" s="5"/>
      <c r="T31" s="5"/>
      <c r="U31" s="5"/>
      <c r="V31" s="5"/>
      <c r="W31" s="5"/>
    </row>
    <row r="32" spans="1:29" ht="14.65" thickBot="1" x14ac:dyDescent="0.5">
      <c r="A32" s="5"/>
      <c r="B32" s="27" t="s">
        <v>177</v>
      </c>
      <c r="C32" s="20" t="s">
        <v>144</v>
      </c>
      <c r="D32" s="5">
        <f>IF($C$27&lt;=300,Datos!G112,"")</f>
        <v>99.36</v>
      </c>
      <c r="E32" s="5" t="str">
        <f>IF(AND($C$13=$D$14,$C$15&lt;&gt;"",$C$15&lt;&gt;$G$13,$C$14=F18),Datos!G37,"")</f>
        <v/>
      </c>
      <c r="F32" s="5"/>
      <c r="G32" s="5" t="str">
        <f>IF(AND(C11=D6,$D12=$D$14,$C$14=F17),Datos!G37,"")</f>
        <v/>
      </c>
      <c r="H32" s="5"/>
      <c r="I32" s="5"/>
      <c r="O32" s="5" t="s">
        <v>182</v>
      </c>
      <c r="P32" s="5"/>
      <c r="Q32" s="5"/>
      <c r="R32" s="5"/>
      <c r="S32" s="5"/>
      <c r="T32" s="5"/>
      <c r="U32" s="5"/>
      <c r="V32" s="5"/>
      <c r="W32" s="5"/>
    </row>
    <row r="33" spans="1:23" ht="14.65" thickBot="1" x14ac:dyDescent="0.5">
      <c r="A33" s="5"/>
      <c r="B33" s="27" t="s">
        <v>197</v>
      </c>
      <c r="C33" s="148">
        <v>0</v>
      </c>
      <c r="D33" s="5">
        <f>IF($C$27&lt;=350,Datos!G113,"")</f>
        <v>115.92</v>
      </c>
      <c r="E33" s="5"/>
      <c r="F33" s="5" t="str">
        <f>IF(AND(OR($C$13=$D$15,$C$13=$D$16),$C$15&lt;&gt;"",$C$15&lt;&gt;$G$13,$C$14=F19),Datos!G44,"")</f>
        <v/>
      </c>
      <c r="G33" s="5" t="str">
        <f>IF(AND(C11=D6,$D12=$D$14,$C$14=F18),Datos!G38,"")</f>
        <v/>
      </c>
      <c r="H33" s="5"/>
      <c r="I33" s="5"/>
      <c r="J33" s="25"/>
      <c r="K33" s="25"/>
      <c r="L33" s="25"/>
      <c r="M33" s="25"/>
      <c r="O33" s="5" t="s">
        <v>183</v>
      </c>
      <c r="P33" s="5">
        <v>2400</v>
      </c>
      <c r="Q33" s="5">
        <v>2400</v>
      </c>
      <c r="R33" s="5"/>
      <c r="S33" s="5"/>
      <c r="T33" s="5"/>
      <c r="U33" s="5"/>
      <c r="V33" s="5"/>
      <c r="W33" s="5"/>
    </row>
    <row r="34" spans="1:23" ht="14.65" thickBot="1" x14ac:dyDescent="0.5">
      <c r="A34" s="5"/>
      <c r="B34" s="27" t="s">
        <v>196</v>
      </c>
      <c r="C34" s="148">
        <v>0</v>
      </c>
      <c r="D34" s="5">
        <f>IF($C$27&lt;=450,Datos!G114,"")</f>
        <v>132.47999999999999</v>
      </c>
      <c r="E34" s="5"/>
      <c r="F34" s="5"/>
      <c r="G34" s="5"/>
      <c r="H34" s="5"/>
      <c r="I34" s="5"/>
      <c r="J34" s="85" t="s">
        <v>173</v>
      </c>
      <c r="K34" s="86"/>
      <c r="L34" s="87"/>
      <c r="M34" s="25"/>
      <c r="O34" s="5" t="s">
        <v>184</v>
      </c>
      <c r="P34" s="5">
        <v>2700</v>
      </c>
      <c r="Q34" s="5">
        <f>Q33+P34</f>
        <v>5100</v>
      </c>
      <c r="R34" s="5"/>
      <c r="S34" s="5"/>
      <c r="T34" s="5"/>
      <c r="U34" s="5"/>
      <c r="V34" s="5"/>
      <c r="W34" s="5"/>
    </row>
    <row r="35" spans="1:23" ht="14.65" thickBot="1" x14ac:dyDescent="0.5">
      <c r="A35" s="5" t="s">
        <v>165</v>
      </c>
      <c r="B35" s="28" t="s">
        <v>180</v>
      </c>
      <c r="C35" s="20">
        <v>0</v>
      </c>
      <c r="D35" s="5">
        <f>IF($C$27&lt;=450,Datos!G115,"")</f>
        <v>149.04</v>
      </c>
      <c r="E35" s="5"/>
      <c r="F35" s="5"/>
      <c r="G35" s="5"/>
      <c r="H35" s="5"/>
      <c r="I35" s="5"/>
      <c r="J35" s="42" t="s">
        <v>174</v>
      </c>
      <c r="K35" s="43"/>
      <c r="L35" s="81">
        <f>L4*12+M4*2</f>
        <v>41417.879999999997</v>
      </c>
      <c r="O35" s="5" t="s">
        <v>185</v>
      </c>
      <c r="P35" s="5">
        <v>4000</v>
      </c>
      <c r="Q35" s="5">
        <f>Q34+P35</f>
        <v>9100</v>
      </c>
      <c r="R35" s="5"/>
      <c r="S35" s="5"/>
      <c r="T35" s="5"/>
      <c r="U35" s="5"/>
      <c r="V35" s="5"/>
      <c r="W35" s="5"/>
    </row>
    <row r="36" spans="1:23" ht="14.75" customHeight="1" thickBot="1" x14ac:dyDescent="0.5">
      <c r="A36" s="5" t="s">
        <v>166</v>
      </c>
      <c r="B36" s="27" t="s">
        <v>179</v>
      </c>
      <c r="C36" s="20">
        <v>0</v>
      </c>
      <c r="D36" s="5">
        <f>IF($C$27&lt;=1000050,Datos!G116,"")</f>
        <v>165.6</v>
      </c>
      <c r="E36" s="5"/>
      <c r="F36" s="5"/>
      <c r="G36" s="5"/>
      <c r="H36" s="5"/>
      <c r="I36" s="5"/>
      <c r="J36" s="9" t="s">
        <v>265</v>
      </c>
      <c r="K36" s="10"/>
      <c r="L36" s="11">
        <f>IF(AND(C47="Sí",L35&lt;33007.2),TRUNC(L35*0.02),0)</f>
        <v>0</v>
      </c>
      <c r="M36" s="24"/>
      <c r="N36" s="24"/>
      <c r="O36" s="5" t="s">
        <v>186</v>
      </c>
      <c r="P36" s="5">
        <v>4500</v>
      </c>
      <c r="Q36" s="5"/>
      <c r="R36" s="5"/>
      <c r="S36" s="5"/>
      <c r="T36" s="5"/>
      <c r="U36" s="5"/>
      <c r="V36" s="5"/>
      <c r="W36" s="5"/>
    </row>
    <row r="37" spans="1:23" ht="14.75" customHeight="1" thickBot="1" x14ac:dyDescent="0.5">
      <c r="A37" s="5" t="s">
        <v>167</v>
      </c>
      <c r="B37" s="29" t="s">
        <v>202</v>
      </c>
      <c r="C37" s="20" t="s">
        <v>144</v>
      </c>
      <c r="D37" s="5" t="str">
        <f>IF(B69=A68,"Sí","No")</f>
        <v>No</v>
      </c>
      <c r="E37" s="5"/>
      <c r="F37" s="5"/>
      <c r="G37" s="5"/>
      <c r="H37" s="5"/>
      <c r="I37" s="5"/>
      <c r="J37" s="9" t="s">
        <v>271</v>
      </c>
      <c r="K37" s="10"/>
      <c r="L37" s="11">
        <f>IF(L35-L38&lt;14047.5,6498,IF(L35-L38&lt;19747.5,6498-(1.14*(L35-L38-14047.5)),0))</f>
        <v>0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4.75" customHeight="1" thickBot="1" x14ac:dyDescent="0.5">
      <c r="A38" s="5" t="s">
        <v>188</v>
      </c>
      <c r="B38" s="27" t="s">
        <v>187</v>
      </c>
      <c r="C38" s="20" t="s">
        <v>188</v>
      </c>
      <c r="D38" s="5"/>
      <c r="E38" s="5"/>
      <c r="F38" s="5"/>
      <c r="G38" s="5"/>
      <c r="H38" s="5"/>
      <c r="I38" s="5"/>
      <c r="J38" s="42" t="s">
        <v>242</v>
      </c>
      <c r="K38" s="43"/>
      <c r="L38" s="81">
        <f>SUM(L26:L29)*14+SUM(M26:M29)*2</f>
        <v>0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4.75" customHeight="1" thickBot="1" x14ac:dyDescent="0.5">
      <c r="A39" s="5" t="s">
        <v>190</v>
      </c>
      <c r="B39" s="29" t="s">
        <v>195</v>
      </c>
      <c r="C39" s="20" t="s">
        <v>144</v>
      </c>
      <c r="D39" s="5"/>
      <c r="E39" s="5"/>
      <c r="F39" s="5"/>
      <c r="G39" s="5"/>
      <c r="H39" s="5"/>
      <c r="I39" s="5"/>
      <c r="J39" s="42" t="s">
        <v>247</v>
      </c>
      <c r="K39" s="43"/>
      <c r="L39" s="81">
        <f>C33+2000+M40</f>
        <v>2000</v>
      </c>
      <c r="M39" s="5"/>
      <c r="N39" s="5"/>
      <c r="O39" s="24"/>
      <c r="P39" s="5"/>
      <c r="Q39" s="5"/>
      <c r="R39" s="5"/>
      <c r="S39" s="5"/>
      <c r="T39" s="5"/>
      <c r="U39" s="5"/>
      <c r="V39" s="5"/>
      <c r="W39" s="5"/>
    </row>
    <row r="40" spans="1:23" ht="14.75" customHeight="1" thickBot="1" x14ac:dyDescent="0.5">
      <c r="A40" s="5" t="s">
        <v>189</v>
      </c>
      <c r="B40" s="27" t="s">
        <v>198</v>
      </c>
      <c r="C40" s="20">
        <v>0</v>
      </c>
      <c r="D40" s="5"/>
      <c r="E40" s="5"/>
      <c r="F40" s="5"/>
      <c r="G40" s="5"/>
      <c r="H40" s="5"/>
      <c r="I40" s="5"/>
      <c r="J40" s="42" t="s">
        <v>176</v>
      </c>
      <c r="K40" s="43"/>
      <c r="L40" s="81">
        <f>IF(C32="Sí",1150+5550,5550)</f>
        <v>5550</v>
      </c>
      <c r="M40" s="5">
        <f>IF(AND(C38=A41,C39="No"),3500,IF(OR(C38=A40,C38=A41),7750,0))</f>
        <v>0</v>
      </c>
      <c r="N40" s="5"/>
      <c r="O40" s="24"/>
      <c r="P40" s="5"/>
      <c r="Q40" s="5"/>
      <c r="R40" s="5"/>
      <c r="S40" s="5"/>
      <c r="T40" s="5"/>
      <c r="U40" s="5"/>
      <c r="V40" s="5"/>
      <c r="W40" s="5"/>
    </row>
    <row r="41" spans="1:23" ht="14.75" customHeight="1" x14ac:dyDescent="0.45">
      <c r="A41" s="5" t="s">
        <v>191</v>
      </c>
      <c r="B41" s="168" t="s">
        <v>213</v>
      </c>
      <c r="C41" s="170">
        <v>0</v>
      </c>
      <c r="D41" s="5"/>
      <c r="E41" s="5"/>
      <c r="F41" s="5"/>
      <c r="G41" s="5"/>
      <c r="H41" s="5"/>
      <c r="I41" s="5"/>
      <c r="J41" s="42" t="s">
        <v>178</v>
      </c>
      <c r="K41" s="43"/>
      <c r="L41" s="81">
        <f>SUM(C70:C73)</f>
        <v>0</v>
      </c>
      <c r="M41" s="5"/>
      <c r="N41" s="5"/>
      <c r="O41" s="24"/>
      <c r="P41" s="5"/>
      <c r="Q41" s="5"/>
      <c r="R41" s="5"/>
      <c r="S41" s="5"/>
      <c r="T41" s="5"/>
      <c r="U41" s="5"/>
      <c r="V41" s="5"/>
      <c r="W41" s="5"/>
    </row>
    <row r="42" spans="1:23" ht="14.75" customHeight="1" x14ac:dyDescent="0.45">
      <c r="A42" s="5"/>
      <c r="B42" s="168"/>
      <c r="C42" s="171"/>
      <c r="D42" s="5"/>
      <c r="E42" s="5"/>
      <c r="F42" s="5"/>
      <c r="G42" s="5"/>
      <c r="H42" s="5"/>
      <c r="I42" s="5"/>
      <c r="J42" s="42" t="s">
        <v>181</v>
      </c>
      <c r="K42" s="43"/>
      <c r="L42" s="81">
        <f>IF(C37="no",M48/2+1400*C36,M48+2800*C36)</f>
        <v>0</v>
      </c>
      <c r="M42" s="5"/>
      <c r="N42" s="5"/>
      <c r="O42" s="24"/>
      <c r="P42" s="5"/>
      <c r="Q42" s="5"/>
      <c r="R42" s="5"/>
      <c r="S42" s="5"/>
      <c r="T42" s="5"/>
      <c r="U42" s="5"/>
      <c r="V42" s="5"/>
      <c r="W42" s="5"/>
    </row>
    <row r="43" spans="1:23" ht="14.75" customHeight="1" thickBot="1" x14ac:dyDescent="0.5">
      <c r="A43" s="5"/>
      <c r="B43" s="169"/>
      <c r="C43" s="172"/>
      <c r="D43" s="5"/>
      <c r="E43" s="5"/>
      <c r="F43" s="5"/>
      <c r="G43" s="5"/>
      <c r="H43" s="5"/>
      <c r="I43" s="5"/>
      <c r="J43" s="42" t="s">
        <v>192</v>
      </c>
      <c r="K43" s="43"/>
      <c r="L43" s="81">
        <f>IF(C38=A40,9000,IF(C38=A41,3000,0))</f>
        <v>0</v>
      </c>
      <c r="M43" s="5"/>
      <c r="N43" s="5"/>
      <c r="O43" s="24"/>
      <c r="P43" s="5"/>
      <c r="Q43" s="5"/>
      <c r="R43" s="5"/>
      <c r="S43" s="5"/>
      <c r="T43" s="5"/>
      <c r="U43" s="5"/>
      <c r="V43" s="5"/>
      <c r="W43" s="5"/>
    </row>
    <row r="44" spans="1:23" ht="14.75" customHeight="1" x14ac:dyDescent="0.45">
      <c r="A44" s="5"/>
      <c r="B44" s="173" t="s">
        <v>213</v>
      </c>
      <c r="C44" s="170">
        <v>0</v>
      </c>
      <c r="D44" s="5"/>
      <c r="E44" s="5"/>
      <c r="F44" s="5"/>
      <c r="G44" s="5"/>
      <c r="H44" s="5"/>
      <c r="I44" s="5"/>
      <c r="J44" s="42" t="s">
        <v>193</v>
      </c>
      <c r="K44" s="43"/>
      <c r="L44" s="81">
        <f>SUM(C74:C77)</f>
        <v>0</v>
      </c>
      <c r="M44" s="5"/>
      <c r="N44" s="5"/>
      <c r="O44" s="24"/>
      <c r="P44" s="5"/>
      <c r="Q44" s="5"/>
      <c r="R44" s="5"/>
      <c r="S44" s="5"/>
      <c r="T44" s="5"/>
      <c r="U44" s="5"/>
      <c r="V44" s="5"/>
      <c r="W44" s="5"/>
    </row>
    <row r="45" spans="1:23" ht="14.75" customHeight="1" x14ac:dyDescent="0.45">
      <c r="A45" s="5"/>
      <c r="B45" s="168"/>
      <c r="C45" s="171"/>
      <c r="D45" s="5"/>
      <c r="E45" s="5"/>
      <c r="F45" s="5"/>
      <c r="G45" s="5"/>
      <c r="H45" s="5"/>
      <c r="I45" s="5"/>
      <c r="J45" s="42" t="s">
        <v>194</v>
      </c>
      <c r="K45" s="43"/>
      <c r="L45" s="81">
        <f>IF(C37="Sí",M50,M50/2)</f>
        <v>0</v>
      </c>
      <c r="M45" s="5"/>
      <c r="N45" s="5"/>
      <c r="O45" s="24"/>
      <c r="P45" s="5"/>
      <c r="Q45" s="5"/>
      <c r="R45" s="5"/>
      <c r="S45" s="5"/>
      <c r="T45" s="5"/>
      <c r="U45" s="5"/>
      <c r="V45" s="5"/>
      <c r="W45" s="5"/>
    </row>
    <row r="46" spans="1:23" ht="14.75" customHeight="1" thickBot="1" x14ac:dyDescent="0.5">
      <c r="A46" s="5"/>
      <c r="B46" s="169"/>
      <c r="C46" s="172"/>
      <c r="D46" s="5"/>
      <c r="E46" s="5"/>
      <c r="F46" s="5"/>
      <c r="G46" s="5"/>
      <c r="H46" s="5"/>
      <c r="I46" s="5"/>
      <c r="J46" s="42" t="s">
        <v>212</v>
      </c>
      <c r="K46" s="43"/>
      <c r="L46" s="81">
        <f>IF(OR(C39="Sí",C38=A40),3000,0)</f>
        <v>0</v>
      </c>
      <c r="M46" s="5"/>
      <c r="N46" s="5"/>
      <c r="O46" s="24"/>
      <c r="P46" s="5"/>
      <c r="Q46" s="5"/>
      <c r="R46" s="5"/>
      <c r="S46" s="5"/>
      <c r="T46" s="5"/>
      <c r="U46" s="5"/>
      <c r="V46" s="5"/>
      <c r="W46" s="5"/>
    </row>
    <row r="47" spans="1:23" ht="14.75" customHeight="1" thickBot="1" x14ac:dyDescent="0.5">
      <c r="A47" s="24"/>
      <c r="B47" s="27" t="s">
        <v>273</v>
      </c>
      <c r="C47" s="20" t="s">
        <v>144</v>
      </c>
      <c r="D47" s="5"/>
      <c r="E47" s="5"/>
      <c r="F47" s="5"/>
      <c r="G47" s="5"/>
      <c r="H47" s="5"/>
      <c r="I47" s="5"/>
      <c r="J47" s="9" t="s">
        <v>214</v>
      </c>
      <c r="K47" s="10"/>
      <c r="L47" s="11">
        <f>SUM(L40:L46)</f>
        <v>5550</v>
      </c>
      <c r="M47" s="5"/>
      <c r="N47" s="5"/>
      <c r="O47" s="24"/>
      <c r="P47" s="5"/>
      <c r="Q47" s="5"/>
      <c r="R47" s="5"/>
      <c r="S47" s="5"/>
      <c r="T47" s="5"/>
      <c r="U47" s="5"/>
      <c r="V47" s="5"/>
      <c r="W47" s="5"/>
    </row>
    <row r="48" spans="1:23" ht="14.75" customHeight="1" thickBot="1" x14ac:dyDescent="0.5">
      <c r="A48" s="24"/>
      <c r="B48" s="27" t="s">
        <v>266</v>
      </c>
      <c r="C48" s="149"/>
      <c r="D48" s="5"/>
      <c r="E48" s="5"/>
      <c r="F48" s="5"/>
      <c r="G48" s="5"/>
      <c r="H48" s="5"/>
      <c r="I48" s="5"/>
      <c r="J48" s="9" t="s">
        <v>215</v>
      </c>
      <c r="K48" s="10"/>
      <c r="L48" s="11">
        <f>MAX(0,L35-L38-L39-L37)</f>
        <v>39417.879999999997</v>
      </c>
      <c r="M48" s="5">
        <f>IF(C35=1,Q33,IF(C35=2,Q34,IF(C35=3,Q35,IF(C35&lt;1,0,Q35+4500*(C35-3)))))</f>
        <v>0</v>
      </c>
      <c r="N48" s="5"/>
      <c r="O48" s="24"/>
      <c r="P48" s="5"/>
      <c r="Q48" s="5"/>
      <c r="R48" s="5"/>
      <c r="S48" s="5"/>
      <c r="T48" s="5"/>
      <c r="U48" s="5"/>
      <c r="V48" s="5"/>
      <c r="W48" s="5"/>
    </row>
    <row r="49" spans="1:23" ht="14.75" customHeight="1" thickBot="1" x14ac:dyDescent="0.5">
      <c r="A49" s="24"/>
      <c r="B49" s="30" t="s">
        <v>199</v>
      </c>
      <c r="C49" s="141"/>
      <c r="D49" s="5"/>
      <c r="E49" s="5"/>
      <c r="F49" s="5"/>
      <c r="G49" s="5"/>
      <c r="H49" s="5"/>
      <c r="I49" s="5"/>
      <c r="J49" s="9" t="s">
        <v>216</v>
      </c>
      <c r="K49" s="10"/>
      <c r="L49" s="11">
        <f>IF(L47&gt;12450,0,MAX(0,MIN(12450,L48)-L47))</f>
        <v>6900</v>
      </c>
      <c r="M49" s="5"/>
      <c r="N49" s="5"/>
      <c r="O49" s="24"/>
      <c r="P49" s="5"/>
      <c r="Q49" s="5"/>
      <c r="R49" s="5"/>
      <c r="S49" s="5"/>
      <c r="T49" s="5"/>
      <c r="U49" s="5"/>
      <c r="V49" s="5"/>
      <c r="W49" s="5"/>
    </row>
    <row r="50" spans="1:23" ht="14.75" customHeight="1" thickBot="1" x14ac:dyDescent="0.5">
      <c r="A50" s="24"/>
      <c r="B50" s="30" t="s">
        <v>200</v>
      </c>
      <c r="C50" s="141"/>
      <c r="D50" s="5"/>
      <c r="E50" s="5"/>
      <c r="F50" s="5"/>
      <c r="G50" s="5"/>
      <c r="H50" s="5"/>
      <c r="I50" s="5"/>
      <c r="J50" s="9" t="s">
        <v>217</v>
      </c>
      <c r="K50" s="10"/>
      <c r="L50" s="11">
        <f>IF(IF(L47&gt;20200,0,IF(L48&gt;20200,MIN(20200-L47,20200-12450),MIN(L48-L47,L48-12450)))&lt;0,0,IF(L47&gt;20200,0,IF(L48&gt;20200,MIN(20200-L47,20200-12450),MIN(L48-L47,L48-12450))))</f>
        <v>7750</v>
      </c>
      <c r="M50" s="5">
        <f>C40*12000+C41*6000+C44*3000</f>
        <v>0</v>
      </c>
      <c r="N50" s="5"/>
      <c r="O50" s="24"/>
      <c r="P50" s="5"/>
      <c r="Q50" s="5"/>
      <c r="R50" s="5"/>
      <c r="S50" s="5"/>
      <c r="T50" s="5"/>
      <c r="U50" s="5"/>
      <c r="V50" s="5"/>
      <c r="W50" s="5"/>
    </row>
    <row r="51" spans="1:23" ht="14.75" customHeight="1" thickBot="1" x14ac:dyDescent="0.5">
      <c r="A51" s="24"/>
      <c r="B51" s="30" t="s">
        <v>207</v>
      </c>
      <c r="C51" s="20"/>
      <c r="D51" s="5"/>
      <c r="E51" s="5"/>
      <c r="F51" s="5"/>
      <c r="G51" s="5"/>
      <c r="H51" s="5"/>
      <c r="I51" s="5"/>
      <c r="J51" s="9" t="s">
        <v>218</v>
      </c>
      <c r="K51" s="10"/>
      <c r="L51" s="11">
        <f>IF(IF(L47&gt;35200,0,IF(L48&gt;35200,MIN(35200-L47,35200-20200),MIN(L48-L47,L48-20200)))&lt;0,0,IF(L47&gt;35200,0,IF(L48&gt;35200,MIN(35200-L47,35200-20200),MIN(L48-L47,L48-20200))))</f>
        <v>15000</v>
      </c>
      <c r="M51" s="5"/>
      <c r="N51" s="5"/>
      <c r="O51" s="24"/>
      <c r="P51" s="5"/>
      <c r="Q51" s="5"/>
      <c r="R51" s="5"/>
      <c r="S51" s="5"/>
      <c r="T51" s="5"/>
      <c r="U51" s="5"/>
      <c r="V51" s="5"/>
      <c r="W51" s="5"/>
    </row>
    <row r="52" spans="1:23" ht="14.75" customHeight="1" thickBot="1" x14ac:dyDescent="0.5">
      <c r="A52" s="5"/>
      <c r="B52" s="31" t="s">
        <v>201</v>
      </c>
      <c r="C52" s="141"/>
      <c r="D52" s="5"/>
      <c r="E52" s="5"/>
      <c r="F52" s="5"/>
      <c r="G52" s="5"/>
      <c r="H52" s="5"/>
      <c r="I52" s="5"/>
      <c r="J52" s="9" t="s">
        <v>219</v>
      </c>
      <c r="K52" s="10"/>
      <c r="L52" s="11">
        <f>IF(IF(L47&gt;60000,0,IF(L48&gt;60000,MIN(35200-L47,60000-35200),MIN(L48-L47,L48-35200)))&lt;0,0,IF(L47&gt;60000,0,IF(L48&gt;60000,MIN(35200-L47,60000-35200),MIN(L48-L47,L48-35200))))</f>
        <v>4217.8799999999974</v>
      </c>
      <c r="M52" s="5"/>
      <c r="N52" s="5"/>
      <c r="O52" s="24"/>
      <c r="P52" s="5"/>
      <c r="Q52" s="5"/>
      <c r="R52" s="5"/>
      <c r="S52" s="5"/>
      <c r="T52" s="5"/>
      <c r="U52" s="5"/>
      <c r="V52" s="5"/>
      <c r="W52" s="5"/>
    </row>
    <row r="53" spans="1:23" ht="14.75" customHeight="1" thickBot="1" x14ac:dyDescent="0.5">
      <c r="A53" s="5"/>
      <c r="B53" s="27" t="s">
        <v>267</v>
      </c>
      <c r="C53" s="149"/>
      <c r="H53" s="5"/>
      <c r="I53" s="5"/>
      <c r="J53" s="9" t="s">
        <v>220</v>
      </c>
      <c r="K53" s="10"/>
      <c r="L53" s="11">
        <f>IF(IF(L47&gt;30000,0,IF(L48&gt;300000,MIN(60000-L47,300000-60000),MIN(L48-L47,L48-60000)))&lt;0,0,IF(L47&gt;30000,0,IF(L48&gt;300000,MIN(60000-L47,300000-60000),MIN(L48-L47,L48-60000))))</f>
        <v>0</v>
      </c>
      <c r="M53" s="5"/>
      <c r="N53" s="5"/>
      <c r="O53" s="24"/>
      <c r="P53" s="5"/>
      <c r="Q53" s="5"/>
      <c r="R53" s="5"/>
      <c r="S53" s="5"/>
      <c r="T53" s="5"/>
      <c r="U53" s="5"/>
      <c r="V53" s="5"/>
      <c r="W53" s="5"/>
    </row>
    <row r="54" spans="1:23" ht="14.75" customHeight="1" thickBot="1" x14ac:dyDescent="0.5">
      <c r="A54" s="5"/>
      <c r="B54" s="30" t="s">
        <v>199</v>
      </c>
      <c r="C54" s="141"/>
      <c r="H54" s="5"/>
      <c r="I54" s="5"/>
      <c r="J54" s="9" t="s">
        <v>221</v>
      </c>
      <c r="K54" s="10"/>
      <c r="L54" s="11">
        <f>ROUND(L49*0.19,2)</f>
        <v>1311</v>
      </c>
      <c r="M54" s="5"/>
      <c r="N54" s="5"/>
      <c r="O54" s="24"/>
      <c r="P54" s="5"/>
      <c r="Q54" s="5"/>
      <c r="R54" s="5"/>
      <c r="S54" s="5"/>
      <c r="T54" s="5"/>
      <c r="U54" s="5"/>
      <c r="V54" s="5"/>
      <c r="W54" s="5"/>
    </row>
    <row r="55" spans="1:23" ht="14.75" customHeight="1" thickBot="1" x14ac:dyDescent="0.5">
      <c r="A55" s="5"/>
      <c r="B55" s="30" t="s">
        <v>200</v>
      </c>
      <c r="C55" s="141"/>
      <c r="G55" s="5"/>
      <c r="H55" s="5"/>
      <c r="I55" s="5"/>
      <c r="J55" s="9" t="s">
        <v>222</v>
      </c>
      <c r="K55" s="10"/>
      <c r="L55" s="11">
        <f>ROUND(L50*0.24,2)</f>
        <v>1860</v>
      </c>
      <c r="M55" s="5"/>
      <c r="N55" s="5"/>
      <c r="P55" s="5"/>
      <c r="Q55" s="5"/>
      <c r="R55" s="5"/>
      <c r="S55" s="5"/>
      <c r="T55" s="5"/>
      <c r="U55" s="5"/>
      <c r="V55" s="5"/>
      <c r="W55" s="5"/>
    </row>
    <row r="56" spans="1:23" ht="14.75" customHeight="1" thickBot="1" x14ac:dyDescent="0.5">
      <c r="A56" s="5"/>
      <c r="B56" s="30" t="s">
        <v>207</v>
      </c>
      <c r="C56" s="20"/>
      <c r="G56" s="5"/>
      <c r="H56" s="5"/>
      <c r="I56" s="5"/>
      <c r="J56" s="9" t="s">
        <v>223</v>
      </c>
      <c r="K56" s="10"/>
      <c r="L56" s="11">
        <f>ROUND(L51*0.3,2)</f>
        <v>4500</v>
      </c>
      <c r="M56" s="5"/>
      <c r="N56" s="5"/>
      <c r="P56" s="5"/>
      <c r="Q56" s="5"/>
      <c r="R56" s="5"/>
      <c r="S56" s="5"/>
      <c r="T56" s="5"/>
      <c r="U56" s="5"/>
      <c r="V56" s="5"/>
      <c r="W56" s="5"/>
    </row>
    <row r="57" spans="1:23" ht="14.75" customHeight="1" thickBot="1" x14ac:dyDescent="0.5">
      <c r="A57" s="5"/>
      <c r="B57" s="31" t="s">
        <v>201</v>
      </c>
      <c r="C57" s="141"/>
      <c r="G57" s="5"/>
      <c r="H57" s="5"/>
      <c r="I57" s="5"/>
      <c r="J57" s="9" t="s">
        <v>224</v>
      </c>
      <c r="K57" s="10"/>
      <c r="L57" s="11">
        <f>ROUND(L52*0.37,2)</f>
        <v>1560.62</v>
      </c>
      <c r="P57" s="5"/>
      <c r="Q57" s="5"/>
      <c r="R57" s="5"/>
      <c r="S57" s="5"/>
      <c r="T57" s="5"/>
      <c r="U57" s="5"/>
      <c r="V57" s="5"/>
      <c r="W57" s="5"/>
    </row>
    <row r="58" spans="1:23" ht="14.65" thickBot="1" x14ac:dyDescent="0.5">
      <c r="A58" s="5"/>
      <c r="B58" s="27" t="s">
        <v>268</v>
      </c>
      <c r="C58" s="149"/>
      <c r="G58" s="5"/>
      <c r="H58" s="5"/>
      <c r="I58" s="5"/>
      <c r="J58" s="9" t="s">
        <v>225</v>
      </c>
      <c r="K58" s="10"/>
      <c r="L58" s="11">
        <f>ROUND(L53*0.45,2)</f>
        <v>0</v>
      </c>
      <c r="P58" s="5"/>
      <c r="Q58" s="5"/>
      <c r="R58" s="5"/>
      <c r="S58" s="5"/>
      <c r="T58" s="5"/>
      <c r="U58" s="5"/>
      <c r="V58" s="5"/>
      <c r="W58" s="5"/>
    </row>
    <row r="59" spans="1:23" ht="14.65" thickBot="1" x14ac:dyDescent="0.5">
      <c r="A59" s="5"/>
      <c r="B59" s="30" t="s">
        <v>199</v>
      </c>
      <c r="C59" s="141"/>
      <c r="G59" s="5"/>
      <c r="H59" s="5"/>
      <c r="I59" s="5"/>
      <c r="J59" s="9" t="s">
        <v>272</v>
      </c>
      <c r="K59" s="10"/>
      <c r="L59" s="56">
        <f>SUM(L54:L58)</f>
        <v>9231.619999999999</v>
      </c>
      <c r="P59" s="5"/>
      <c r="Q59" s="5"/>
      <c r="R59" s="5"/>
      <c r="S59" s="5"/>
      <c r="T59" s="5"/>
      <c r="U59" s="5"/>
      <c r="V59" s="5"/>
      <c r="W59" s="5"/>
    </row>
    <row r="60" spans="1:23" ht="14.65" thickBot="1" x14ac:dyDescent="0.5">
      <c r="A60" s="5"/>
      <c r="B60" s="30" t="s">
        <v>200</v>
      </c>
      <c r="C60" s="141"/>
      <c r="G60" s="5"/>
      <c r="H60" s="5"/>
      <c r="I60" s="5"/>
      <c r="J60" s="9" t="s">
        <v>270</v>
      </c>
      <c r="K60" s="10"/>
      <c r="L60" s="56">
        <f>MAX(0,C129-L36)</f>
        <v>9231.6155999999992</v>
      </c>
      <c r="P60" s="5"/>
      <c r="Q60" s="5"/>
      <c r="R60" s="5"/>
      <c r="S60" s="5"/>
      <c r="T60" s="5"/>
      <c r="U60" s="5"/>
      <c r="V60" s="5"/>
      <c r="W60" s="5"/>
    </row>
    <row r="61" spans="1:23" ht="14.65" thickBot="1" x14ac:dyDescent="0.5">
      <c r="A61" s="5"/>
      <c r="B61" s="32" t="s">
        <v>207</v>
      </c>
      <c r="C61" s="20"/>
      <c r="G61" s="5"/>
      <c r="H61" s="5"/>
      <c r="I61" s="5"/>
      <c r="J61" s="91" t="s">
        <v>226</v>
      </c>
      <c r="K61" s="92"/>
      <c r="L61" s="93">
        <f>IF(M61&lt;0.02,0.02,M61)</f>
        <v>0.2228896215837218</v>
      </c>
      <c r="M61" s="5">
        <f>IF(L60&lt;L59,L60/L35,L59/L35)</f>
        <v>0.2228896215837218</v>
      </c>
    </row>
    <row r="62" spans="1:23" ht="14.65" thickBot="1" x14ac:dyDescent="0.5">
      <c r="A62" s="5"/>
      <c r="B62" s="31" t="s">
        <v>201</v>
      </c>
      <c r="C62" s="141"/>
      <c r="G62" s="5"/>
      <c r="H62" s="5"/>
      <c r="I62" s="5"/>
    </row>
    <row r="63" spans="1:23" ht="14.65" thickBot="1" x14ac:dyDescent="0.5">
      <c r="A63" s="5"/>
      <c r="B63" s="27" t="s">
        <v>269</v>
      </c>
      <c r="C63" s="149"/>
      <c r="G63" s="5"/>
      <c r="H63" s="5"/>
      <c r="I63" s="5"/>
      <c r="J63" s="85" t="s">
        <v>228</v>
      </c>
      <c r="K63" s="88"/>
      <c r="L63" s="89"/>
    </row>
    <row r="64" spans="1:23" ht="14.65" thickBot="1" x14ac:dyDescent="0.5">
      <c r="A64" s="5"/>
      <c r="B64" s="30" t="s">
        <v>199</v>
      </c>
      <c r="C64" s="141"/>
      <c r="G64" s="5"/>
      <c r="H64" s="5"/>
      <c r="I64" s="5"/>
      <c r="J64" s="9" t="s">
        <v>230</v>
      </c>
      <c r="K64" s="7"/>
      <c r="L64" s="82">
        <v>4.7E-2</v>
      </c>
    </row>
    <row r="65" spans="1:12" ht="14.65" thickBot="1" x14ac:dyDescent="0.5">
      <c r="A65" s="5"/>
      <c r="B65" s="30" t="s">
        <v>200</v>
      </c>
      <c r="C65" s="141"/>
      <c r="G65" s="5"/>
      <c r="H65" s="5"/>
      <c r="I65" s="5"/>
      <c r="J65" s="9" t="s">
        <v>231</v>
      </c>
      <c r="K65" s="7"/>
      <c r="L65" s="82">
        <v>1.1999999999999999E-3</v>
      </c>
    </row>
    <row r="66" spans="1:12" ht="14.65" thickBot="1" x14ac:dyDescent="0.5">
      <c r="A66" s="5"/>
      <c r="B66" s="32" t="s">
        <v>207</v>
      </c>
      <c r="C66" s="20"/>
      <c r="G66" s="5"/>
      <c r="H66" s="5"/>
      <c r="I66" s="5"/>
      <c r="J66" s="9" t="s">
        <v>236</v>
      </c>
      <c r="K66" s="7"/>
      <c r="L66" s="82">
        <v>0.28299999999999997</v>
      </c>
    </row>
    <row r="67" spans="1:12" ht="14.65" thickBot="1" x14ac:dyDescent="0.5">
      <c r="A67" s="5"/>
      <c r="B67" s="32" t="s">
        <v>201</v>
      </c>
      <c r="C67" s="141"/>
      <c r="G67" s="5"/>
      <c r="H67" s="5"/>
      <c r="I67" s="5"/>
      <c r="J67" s="9" t="s">
        <v>235</v>
      </c>
      <c r="K67" s="7"/>
      <c r="L67" s="46">
        <v>1.0999999999999999E-2</v>
      </c>
    </row>
    <row r="68" spans="1:12" ht="14.65" thickBot="1" x14ac:dyDescent="0.5">
      <c r="A68" s="35" t="s">
        <v>246</v>
      </c>
      <c r="B68" s="28" t="s">
        <v>243</v>
      </c>
      <c r="C68" s="80">
        <f>IF(B69=A68,1,IF(B69=A69,2,IF(B69=A70,3,0)))</f>
        <v>3</v>
      </c>
      <c r="G68" s="5"/>
      <c r="H68" s="5"/>
      <c r="I68" s="5"/>
      <c r="J68" s="91" t="s">
        <v>234</v>
      </c>
      <c r="K68" s="92"/>
      <c r="L68" s="94">
        <f>L64+L65-(L66*L67)</f>
        <v>4.5087000000000002E-2</v>
      </c>
    </row>
    <row r="69" spans="1:12" ht="42" customHeight="1" thickBot="1" x14ac:dyDescent="0.5">
      <c r="A69" s="35" t="s">
        <v>244</v>
      </c>
      <c r="B69" s="156" t="s">
        <v>245</v>
      </c>
      <c r="C69" s="157"/>
      <c r="G69" s="5"/>
      <c r="H69" s="5"/>
      <c r="I69" s="5"/>
    </row>
    <row r="70" spans="1:12" x14ac:dyDescent="0.45">
      <c r="A70" s="35" t="s">
        <v>245</v>
      </c>
      <c r="B70" s="5" t="s">
        <v>203</v>
      </c>
      <c r="C70" s="5">
        <f>IF(C49&gt;=75,ROUND((1150+1400)/C52,2),IF(C49&gt;=65,ROUND(1150/C52,2),0))</f>
        <v>0</v>
      </c>
      <c r="G70" s="5"/>
      <c r="H70" s="5"/>
      <c r="I70" s="5"/>
      <c r="J70" s="85" t="s">
        <v>229</v>
      </c>
      <c r="K70" s="88"/>
      <c r="L70" s="89"/>
    </row>
    <row r="71" spans="1:12" x14ac:dyDescent="0.45">
      <c r="A71" s="5"/>
      <c r="B71" s="5" t="s">
        <v>204</v>
      </c>
      <c r="C71" s="5">
        <f>IF(C54&gt;=75,ROUND((1150+1400)/C57,2),IF(C54&gt;=65,ROUND(1150/C57,2),0))</f>
        <v>0</v>
      </c>
      <c r="D71" s="5"/>
      <c r="E71" s="5"/>
      <c r="F71" s="5"/>
      <c r="G71" s="5"/>
      <c r="H71" s="5"/>
      <c r="I71" s="5"/>
      <c r="J71" s="9" t="s">
        <v>230</v>
      </c>
      <c r="K71" s="7"/>
      <c r="L71" s="82">
        <v>4.7E-2</v>
      </c>
    </row>
    <row r="72" spans="1:12" x14ac:dyDescent="0.45">
      <c r="A72" s="5"/>
      <c r="B72" s="5" t="s">
        <v>205</v>
      </c>
      <c r="C72" s="5">
        <f>IF(C59&gt;=75,ROUND((1150+1400)/C62,2),IF(C59&gt;=65,ROUND(1150/C62,2),0))</f>
        <v>0</v>
      </c>
      <c r="D72" s="5"/>
      <c r="E72" s="5"/>
      <c r="F72" s="5"/>
      <c r="G72" s="5"/>
      <c r="H72" s="5"/>
      <c r="I72" s="5"/>
      <c r="J72" s="9" t="s">
        <v>231</v>
      </c>
      <c r="K72" s="7"/>
      <c r="L72" s="82">
        <v>1.1999999999999999E-3</v>
      </c>
    </row>
    <row r="73" spans="1:12" x14ac:dyDescent="0.45">
      <c r="A73" s="5"/>
      <c r="B73" s="5" t="s">
        <v>206</v>
      </c>
      <c r="C73" s="5">
        <f>IF(C64&gt;=75,ROUND((1150+1400)/C67,2),IF(C64&gt;=65,ROUND(1150/C67,2),0))</f>
        <v>0</v>
      </c>
      <c r="D73" s="5"/>
      <c r="E73" s="5"/>
      <c r="F73" s="5"/>
      <c r="G73" s="5"/>
      <c r="H73" s="5"/>
      <c r="I73" s="5"/>
      <c r="J73" s="9" t="s">
        <v>232</v>
      </c>
      <c r="K73" s="7"/>
      <c r="L73" s="82">
        <v>1.55E-2</v>
      </c>
    </row>
    <row r="74" spans="1:12" x14ac:dyDescent="0.45">
      <c r="A74" s="25"/>
      <c r="B74" s="5" t="s">
        <v>208</v>
      </c>
      <c r="C74" s="5">
        <f>IF(C49&lt;65,0,IF(C50=A40,ROUND(12000/C52,2),IF(AND(C50=A41,C51="No"),ROUND(3000/C52,2),IF(AND(C50=A41,C51="Sí"),ROUND(6000/C52,2),""))))</f>
        <v>0</v>
      </c>
      <c r="D74" s="5"/>
      <c r="E74" s="5"/>
      <c r="F74" s="5"/>
      <c r="G74" s="5"/>
      <c r="H74" s="5"/>
      <c r="I74" s="5"/>
      <c r="J74" s="9" t="s">
        <v>233</v>
      </c>
      <c r="K74" s="7"/>
      <c r="L74" s="82">
        <v>1E-3</v>
      </c>
    </row>
    <row r="75" spans="1:12" ht="14.65" thickBot="1" x14ac:dyDescent="0.5">
      <c r="A75" s="25"/>
      <c r="B75" s="5" t="s">
        <v>209</v>
      </c>
      <c r="C75" s="5">
        <f>IF(C54&lt;65,0,IF(C55=A40,ROUND(12000/C57,2),IF(AND(C55=A41,C56="No"),ROUND(3000/C57,2),IF(AND(C55=A41,C56="Sí"),ROUND(6000/C57,2),""))))</f>
        <v>0</v>
      </c>
      <c r="D75" s="5"/>
      <c r="E75" s="5"/>
      <c r="F75" s="5"/>
      <c r="G75" s="5"/>
      <c r="H75" s="5"/>
      <c r="I75" s="5"/>
      <c r="J75" s="91" t="s">
        <v>234</v>
      </c>
      <c r="K75" s="92"/>
      <c r="L75" s="93">
        <f>SUM(L71:L74)</f>
        <v>6.4700000000000008E-2</v>
      </c>
    </row>
    <row r="76" spans="1:12" x14ac:dyDescent="0.45">
      <c r="A76" s="25"/>
      <c r="B76" s="5" t="s">
        <v>210</v>
      </c>
      <c r="C76" s="5">
        <f>IF(C59&lt;65,0,IF(C60=A40,ROUND(12000/C62,2),IF(AND(C60=A41,C61="No"),ROUND(3000/C62,2),IF(AND(C60=A41,C61="Sí"),ROUND(6000/C62,2),""))))</f>
        <v>0</v>
      </c>
      <c r="D76" s="5"/>
      <c r="E76" s="5"/>
      <c r="F76" s="5"/>
      <c r="G76" s="5"/>
      <c r="H76" s="5"/>
      <c r="I76" s="5"/>
    </row>
    <row r="77" spans="1:12" x14ac:dyDescent="0.45">
      <c r="A77" s="25"/>
      <c r="B77" s="5" t="s">
        <v>211</v>
      </c>
      <c r="C77" s="5">
        <f>IF(C64&lt;65,0,IF(C65=A40,ROUND(12000/C67,2),IF(AND(C65=A41,C66="No"),ROUND(3000/C67,2),IF(AND(C65=A41,C66="Sí"),ROUND(6000/C67,2),""))))</f>
        <v>0</v>
      </c>
      <c r="D77" s="5"/>
      <c r="E77" s="5"/>
      <c r="F77" s="5"/>
      <c r="G77" s="5"/>
      <c r="H77" s="5"/>
      <c r="I77" s="5"/>
    </row>
    <row r="78" spans="1:12" x14ac:dyDescent="0.45">
      <c r="A78" s="25"/>
      <c r="B78" s="5"/>
      <c r="C78" s="5"/>
      <c r="I78" s="5"/>
    </row>
    <row r="79" spans="1:12" x14ac:dyDescent="0.45">
      <c r="A79" s="25"/>
      <c r="B79" s="5" t="s">
        <v>248</v>
      </c>
      <c r="C79" s="5"/>
      <c r="I79" s="5"/>
    </row>
    <row r="80" spans="1:12" x14ac:dyDescent="0.45">
      <c r="A80" s="25"/>
      <c r="B80" s="5" t="s">
        <v>249</v>
      </c>
      <c r="C80" s="39">
        <f>L48-C34</f>
        <v>39417.879999999997</v>
      </c>
      <c r="I80" s="5"/>
    </row>
    <row r="81" spans="1:9" x14ac:dyDescent="0.45">
      <c r="A81" s="25"/>
      <c r="B81" s="5" t="s">
        <v>250</v>
      </c>
      <c r="C81" s="39">
        <f>C34</f>
        <v>0</v>
      </c>
      <c r="I81" s="5"/>
    </row>
    <row r="82" spans="1:9" x14ac:dyDescent="0.45">
      <c r="A82" s="25"/>
      <c r="B82" s="5" t="s">
        <v>251</v>
      </c>
      <c r="C82" s="40">
        <f>MAX(B84:B89)</f>
        <v>10286.115599999999</v>
      </c>
      <c r="I82" s="5"/>
    </row>
    <row r="83" spans="1:9" x14ac:dyDescent="0.45">
      <c r="A83" s="25"/>
      <c r="B83" s="5" t="s">
        <v>253</v>
      </c>
      <c r="C83" s="5"/>
      <c r="I83" s="5"/>
    </row>
    <row r="84" spans="1:9" x14ac:dyDescent="0.45">
      <c r="A84" s="25"/>
      <c r="B84" s="5" t="str">
        <f>IF(C80&lt;12450,0+(C80)*0.19,"")</f>
        <v/>
      </c>
      <c r="C84" s="5"/>
      <c r="I84" s="5"/>
    </row>
    <row r="85" spans="1:9" x14ac:dyDescent="0.45">
      <c r="A85" s="25"/>
      <c r="B85" s="5" t="str">
        <f>IF(AND(C80&gt;=12450,C80&lt;20200),2365.5+(C80-12450)*0.24,"")</f>
        <v/>
      </c>
      <c r="C85" s="5"/>
      <c r="I85" s="5"/>
    </row>
    <row r="86" spans="1:9" x14ac:dyDescent="0.45">
      <c r="A86" s="25"/>
      <c r="B86" s="5" t="str">
        <f>IF(AND(C80&gt;=20200,C80&lt;35200),4225.5+(C80-20200)*0.3,"")</f>
        <v/>
      </c>
      <c r="C86" s="5"/>
      <c r="I86" s="5"/>
    </row>
    <row r="87" spans="1:9" x14ac:dyDescent="0.45">
      <c r="A87" s="25"/>
      <c r="B87" s="5">
        <f>IF(AND(C80&gt;=35200,C80&lt;60000),8725.5+(C80-35200)*0.37,"")</f>
        <v>10286.115599999999</v>
      </c>
      <c r="C87" s="5"/>
      <c r="I87" s="5"/>
    </row>
    <row r="88" spans="1:9" x14ac:dyDescent="0.45">
      <c r="A88" s="25"/>
      <c r="B88" s="5" t="str">
        <f>IF(AND(C80&gt;=60000,C80&lt;300000),17901.5+(C80-60000)*0.45,"")</f>
        <v/>
      </c>
      <c r="C88" s="5"/>
      <c r="I88" s="5"/>
    </row>
    <row r="89" spans="1:9" x14ac:dyDescent="0.45">
      <c r="A89" s="25"/>
      <c r="B89" s="5" t="str">
        <f>IF(C80&gt;300000,125901.5+(C80-300000)*0.47,"")</f>
        <v/>
      </c>
      <c r="C89" s="5"/>
      <c r="I89" s="5"/>
    </row>
    <row r="90" spans="1:9" x14ac:dyDescent="0.45">
      <c r="A90" s="25"/>
      <c r="B90" s="5" t="s">
        <v>252</v>
      </c>
      <c r="C90" s="40">
        <f>MAX(B91:B96)</f>
        <v>0</v>
      </c>
      <c r="I90" s="5"/>
    </row>
    <row r="91" spans="1:9" x14ac:dyDescent="0.45">
      <c r="A91" s="25"/>
      <c r="B91" s="5">
        <f>IF(C81&lt;12450,0+(C81)*0.19,"")</f>
        <v>0</v>
      </c>
      <c r="C91" s="5"/>
      <c r="I91" s="5"/>
    </row>
    <row r="92" spans="1:9" x14ac:dyDescent="0.45">
      <c r="A92" s="25"/>
      <c r="B92" s="5" t="str">
        <f>IF(AND(C81&gt;=12450,C81&lt;20200),2365.5+(C81-12450)*0.24,"")</f>
        <v/>
      </c>
      <c r="C92" s="5"/>
      <c r="I92" s="5"/>
    </row>
    <row r="93" spans="1:9" x14ac:dyDescent="0.45">
      <c r="A93" s="25"/>
      <c r="B93" s="5" t="str">
        <f>IF(AND(C81&gt;=20200,C81&lt;35200),4225.5+(C81-20200)*0.3,"")</f>
        <v/>
      </c>
      <c r="C93" s="5"/>
      <c r="I93" s="5"/>
    </row>
    <row r="94" spans="1:9" x14ac:dyDescent="0.45">
      <c r="A94" s="25"/>
      <c r="B94" s="5" t="str">
        <f>IF(AND(C81&gt;=35200,C81&lt;60000),8725.5+(C81-35200)*0.37,"")</f>
        <v/>
      </c>
      <c r="C94" s="5"/>
      <c r="I94" s="5"/>
    </row>
    <row r="95" spans="1:9" x14ac:dyDescent="0.45">
      <c r="A95" s="25"/>
      <c r="B95" s="5" t="str">
        <f>IF(AND(C81&gt;=60000,C81&lt;300000),17901.5+(C81-60000)*0.45,"")</f>
        <v/>
      </c>
      <c r="C95" s="5"/>
    </row>
    <row r="96" spans="1:9" x14ac:dyDescent="0.45">
      <c r="B96" s="5" t="str">
        <f>IF(C81&gt;300000,125901.5+(C81-300000)*0.47,"")</f>
        <v/>
      </c>
      <c r="C96" s="5"/>
    </row>
    <row r="97" spans="2:3" x14ac:dyDescent="0.45">
      <c r="B97" s="5" t="s">
        <v>254</v>
      </c>
      <c r="C97" s="39">
        <f>IF(AND(C34&gt;0,L48-C34&gt;0),C90+C82,C107)</f>
        <v>10286.115599999999</v>
      </c>
    </row>
    <row r="98" spans="2:3" x14ac:dyDescent="0.45">
      <c r="B98" s="5" t="s">
        <v>255</v>
      </c>
      <c r="C98" s="40">
        <f>IF(AND(C34&gt;0,L48-C34&gt;0),L47+1980,L47)</f>
        <v>5550</v>
      </c>
    </row>
    <row r="99" spans="2:3" x14ac:dyDescent="0.45">
      <c r="B99" s="5" t="s">
        <v>256</v>
      </c>
      <c r="C99" s="40">
        <f>MAX(B100:B105)</f>
        <v>1054.5</v>
      </c>
    </row>
    <row r="100" spans="2:3" x14ac:dyDescent="0.45">
      <c r="B100" s="5">
        <f>IF(C98&lt;12450,0+(C98)*0.19,"")</f>
        <v>1054.5</v>
      </c>
      <c r="C100" s="5"/>
    </row>
    <row r="101" spans="2:3" x14ac:dyDescent="0.45">
      <c r="B101" s="5" t="str">
        <f>IF(AND(C98&gt;=12450,C98&lt;20200),2365.5+(C98-12450)*0.24,"")</f>
        <v/>
      </c>
      <c r="C101" s="5"/>
    </row>
    <row r="102" spans="2:3" x14ac:dyDescent="0.45">
      <c r="B102" s="5" t="str">
        <f>IF(AND(C98&gt;=20200,C98&lt;35200),4225.5+(C98-20200)*0.3,"")</f>
        <v/>
      </c>
      <c r="C102" s="5"/>
    </row>
    <row r="103" spans="2:3" x14ac:dyDescent="0.45">
      <c r="B103" s="5" t="str">
        <f>IF(AND(C98&gt;=35200,C98&lt;60000),8725.5+(C98-35200)*0.37,"")</f>
        <v/>
      </c>
      <c r="C103" s="5"/>
    </row>
    <row r="104" spans="2:3" x14ac:dyDescent="0.45">
      <c r="B104" s="5" t="str">
        <f>IF(AND(C98&gt;=60000,C98&lt;300000),17901.5+(C98-60000)*0.45,"")</f>
        <v/>
      </c>
      <c r="C104" s="5"/>
    </row>
    <row r="105" spans="2:3" x14ac:dyDescent="0.45">
      <c r="B105" s="5" t="str">
        <f>IF(C98&gt;300000,125901.5+(C98-300000)*0.47,"")</f>
        <v/>
      </c>
      <c r="C105" s="5"/>
    </row>
    <row r="106" spans="2:3" x14ac:dyDescent="0.45">
      <c r="B106" s="5" t="s">
        <v>257</v>
      </c>
      <c r="C106" s="41">
        <f>IF(C97&gt;C99,C97-C99,L59)</f>
        <v>9231.6155999999992</v>
      </c>
    </row>
    <row r="107" spans="2:3" x14ac:dyDescent="0.45">
      <c r="B107" s="5" t="s">
        <v>258</v>
      </c>
      <c r="C107" s="40">
        <f>MAX(B108:B114)</f>
        <v>10286.115599999999</v>
      </c>
    </row>
    <row r="108" spans="2:3" x14ac:dyDescent="0.45">
      <c r="B108" s="5" t="str">
        <f>IF(L48&lt;12450,0+(L48)*0.19,"")</f>
        <v/>
      </c>
      <c r="C108" s="5"/>
    </row>
    <row r="109" spans="2:3" x14ac:dyDescent="0.45">
      <c r="B109" s="5" t="str">
        <f>IF(AND(L48&gt;=12450,L48&lt;20200),2365.5+(L48-12450)*0.24,"")</f>
        <v/>
      </c>
      <c r="C109" s="5"/>
    </row>
    <row r="110" spans="2:3" x14ac:dyDescent="0.45">
      <c r="B110" s="5" t="str">
        <f>IF(AND(L48&gt;=20200,L48&lt;35200),4225.5+(L48-20200)*0.3,"")</f>
        <v/>
      </c>
      <c r="C110" s="5"/>
    </row>
    <row r="111" spans="2:3" x14ac:dyDescent="0.45">
      <c r="B111" s="5">
        <f>IF(AND(L48&gt;=35200,L48&lt;60000),8725.5+(L48-35200)*0.37,"")</f>
        <v>10286.115599999999</v>
      </c>
      <c r="C111" s="5"/>
    </row>
    <row r="112" spans="2:3" x14ac:dyDescent="0.45">
      <c r="B112" s="5" t="str">
        <f>IF(AND(L48&gt;=60000,L48&lt;300000),17901.5+(L48-60000)*0.45,"")</f>
        <v/>
      </c>
      <c r="C112" s="5"/>
    </row>
    <row r="113" spans="2:3" x14ac:dyDescent="0.45">
      <c r="B113" s="5" t="str">
        <f>IF(L48&gt;300000,125901.5+(L48-300000)*0.47,"")</f>
        <v/>
      </c>
      <c r="C113" s="5"/>
    </row>
    <row r="114" spans="2:3" x14ac:dyDescent="0.45">
      <c r="B114" s="5"/>
      <c r="C114" s="5"/>
    </row>
    <row r="115" spans="2:3" x14ac:dyDescent="0.45">
      <c r="B115" s="5"/>
      <c r="C115" s="5"/>
    </row>
    <row r="116" spans="2:3" x14ac:dyDescent="0.45">
      <c r="B116" s="5" t="s">
        <v>259</v>
      </c>
      <c r="C116" s="5"/>
    </row>
    <row r="117" spans="2:3" x14ac:dyDescent="0.45">
      <c r="B117" s="5" t="s">
        <v>261</v>
      </c>
      <c r="C117" s="5"/>
    </row>
    <row r="118" spans="2:3" x14ac:dyDescent="0.45">
      <c r="B118" s="5" t="s">
        <v>260</v>
      </c>
      <c r="C118" s="5"/>
    </row>
    <row r="119" spans="2:3" x14ac:dyDescent="0.45">
      <c r="B119" s="5">
        <f>IF(AND(L35&lt;=35200,C68=1,C35=1),(L35-(17270+C118+C119))*0.43,0)</f>
        <v>0</v>
      </c>
      <c r="C119" s="5"/>
    </row>
    <row r="120" spans="2:3" x14ac:dyDescent="0.45">
      <c r="B120" s="5">
        <f>IF(AND(L35&lt;=35200,C68=1,C35&gt;1),(L35-(18617+C118+C119))*0.43,0)</f>
        <v>0</v>
      </c>
      <c r="C120" s="5"/>
    </row>
    <row r="121" spans="2:3" x14ac:dyDescent="0.45">
      <c r="B121" s="5">
        <f>IF(AND(L35&lt;=35200,C68=2,C35=0),(L35-(16696+C118+C119))*0.43,0)</f>
        <v>0</v>
      </c>
      <c r="C121" s="5"/>
    </row>
    <row r="122" spans="2:3" x14ac:dyDescent="0.45">
      <c r="B122" s="5">
        <f>IF(AND(L35&lt;=35200,C68=2,C35=1),(L35-(17894+C118+C119))*0.43,0)</f>
        <v>0</v>
      </c>
      <c r="C122" s="5"/>
    </row>
    <row r="123" spans="2:3" x14ac:dyDescent="0.45">
      <c r="B123" s="5">
        <f>IF(AND(L35&lt;=35200,C68=2,C35&gt;1),(L35-(19241+C118+C119))*0.43,0)</f>
        <v>0</v>
      </c>
      <c r="C123" s="5"/>
    </row>
    <row r="124" spans="2:3" x14ac:dyDescent="0.45">
      <c r="B124" s="5">
        <f>IF(AND(L35&lt;=35200,C68=3,C35=0),(L35-(15000+C118+C119))*0.43,0)</f>
        <v>0</v>
      </c>
      <c r="C124" s="5"/>
    </row>
    <row r="125" spans="2:3" x14ac:dyDescent="0.45">
      <c r="B125" s="5">
        <f>IF(AND(L35&lt;=35200,C68=3,C35=1),(L35-(15599+C118+C119))*0.43,0)</f>
        <v>0</v>
      </c>
      <c r="C125" s="5"/>
    </row>
    <row r="126" spans="2:3" x14ac:dyDescent="0.45">
      <c r="B126" s="5">
        <f>IF(AND(L35&lt;=35200,C68=3,C35&gt;1),(L35-(16272+C118+C119))*0.43,0)</f>
        <v>0</v>
      </c>
      <c r="C126" s="5"/>
    </row>
    <row r="127" spans="2:3" x14ac:dyDescent="0.45">
      <c r="B127" s="5" t="s">
        <v>263</v>
      </c>
      <c r="C127" s="5" t="str">
        <f>IF(MAX(B119:B126)&gt;0,"Sí","No")</f>
        <v>No</v>
      </c>
    </row>
    <row r="128" spans="2:3" x14ac:dyDescent="0.45">
      <c r="B128" s="5" t="s">
        <v>264</v>
      </c>
      <c r="C128" s="5">
        <f>MAX(B119:B126)</f>
        <v>0</v>
      </c>
    </row>
    <row r="129" spans="2:3" x14ac:dyDescent="0.45">
      <c r="B129" s="5" t="s">
        <v>262</v>
      </c>
      <c r="C129" s="41">
        <f>IF(C127="No",C106,IF(C106&gt;C128,C128,C106))</f>
        <v>9231.6155999999992</v>
      </c>
    </row>
    <row r="130" spans="2:3" x14ac:dyDescent="0.45">
      <c r="B130" s="5"/>
      <c r="C130" s="5"/>
    </row>
    <row r="131" spans="2:3" x14ac:dyDescent="0.45">
      <c r="B131" s="5"/>
      <c r="C131" s="5"/>
    </row>
    <row r="132" spans="2:3" x14ac:dyDescent="0.45">
      <c r="B132" s="5"/>
      <c r="C132" s="5"/>
    </row>
    <row r="133" spans="2:3" x14ac:dyDescent="0.45">
      <c r="B133" s="5"/>
      <c r="C133" s="5"/>
    </row>
    <row r="134" spans="2:3" x14ac:dyDescent="0.45">
      <c r="B134" s="5"/>
      <c r="C134" s="5"/>
    </row>
    <row r="135" spans="2:3" x14ac:dyDescent="0.45">
      <c r="B135" s="5"/>
      <c r="C135" s="5"/>
    </row>
    <row r="136" spans="2:3" x14ac:dyDescent="0.45">
      <c r="B136" s="5"/>
      <c r="C136" s="5"/>
    </row>
    <row r="137" spans="2:3" x14ac:dyDescent="0.45">
      <c r="B137" s="5"/>
      <c r="C137" s="5"/>
    </row>
  </sheetData>
  <sheetProtection algorithmName="SHA-512" hashValue="rO9kupkJ+frtJEsnZRrcIvkTF8Jb0sU1t1oO3eU6A1BNOfN5kY84NT2nmGw4rLTEGyZ/hKeSEvdAkBhJ6ZS+2A==" saltValue="RJX40gnHN+ytSppeyPPLDg==" spinCount="100000" sheet="1" objects="1" scenarios="1"/>
  <mergeCells count="12">
    <mergeCell ref="M4:M5"/>
    <mergeCell ref="B28:C28"/>
    <mergeCell ref="B69:C69"/>
    <mergeCell ref="B3:C3"/>
    <mergeCell ref="J3:K3"/>
    <mergeCell ref="J4:K5"/>
    <mergeCell ref="L4:L5"/>
    <mergeCell ref="B31:C31"/>
    <mergeCell ref="B41:B43"/>
    <mergeCell ref="C41:C43"/>
    <mergeCell ref="B44:B46"/>
    <mergeCell ref="C44:C46"/>
  </mergeCells>
  <dataValidations count="18">
    <dataValidation type="list" allowBlank="1" showInputMessage="1" showErrorMessage="1" sqref="B69">
      <formula1>$A$68:$A$70</formula1>
    </dataValidation>
    <dataValidation type="list" allowBlank="1" showInputMessage="1" showErrorMessage="1" sqref="C38 C60 C50 C55 C65">
      <formula1>$A$38:$A$42</formula1>
    </dataValidation>
    <dataValidation type="whole" allowBlank="1" showInputMessage="1" showErrorMessage="1" sqref="C44">
      <formula1>0</formula1>
      <formula2>C40</formula2>
    </dataValidation>
    <dataValidation type="whole" allowBlank="1" showInputMessage="1" showErrorMessage="1" sqref="C52 C57 C62 C67">
      <formula1>0</formula1>
      <formula2>20</formula2>
    </dataValidation>
    <dataValidation type="whole" allowBlank="1" showInputMessage="1" showErrorMessage="1" sqref="C49 C54 C59 C64">
      <formula1>18</formula1>
      <formula2>130</formula2>
    </dataValidation>
    <dataValidation type="whole" allowBlank="1" showInputMessage="1" showErrorMessage="1" sqref="C36 C40:C41">
      <formula1>0</formula1>
      <formula2>C35</formula2>
    </dataValidation>
    <dataValidation type="whole" allowBlank="1" showInputMessage="1" showErrorMessage="1" sqref="C35">
      <formula1>0</formula1>
      <formula2>100</formula2>
    </dataValidation>
    <dataValidation type="list" allowBlank="1" showInputMessage="1" showErrorMessage="1" sqref="C29">
      <formula1>$A$35:$A$37</formula1>
    </dataValidation>
    <dataValidation type="whole" allowBlank="1" showInputMessage="1" showErrorMessage="1" sqref="C30">
      <formula1>1980</formula1>
      <formula2>2023</formula2>
    </dataValidation>
    <dataValidation type="whole" allowBlank="1" showInputMessage="1" showErrorMessage="1" sqref="C27">
      <formula1>0</formula1>
      <formula2>10000</formula2>
    </dataValidation>
    <dataValidation type="whole" allowBlank="1" showInputMessage="1" showErrorMessage="1" sqref="C25">
      <formula1>0</formula1>
      <formula2>30</formula2>
    </dataValidation>
    <dataValidation type="list" allowBlank="1" showInputMessage="1" showErrorMessage="1" sqref="C26 C47 C66 C61 C56 C51 C39 C37 C32 C15:C24">
      <formula1>$H$13:$H$14</formula1>
    </dataValidation>
    <dataValidation type="list" allowBlank="1" showInputMessage="1" showErrorMessage="1" sqref="C14">
      <formula1>$F$13:$F$18</formula1>
    </dataValidation>
    <dataValidation type="list" allowBlank="1" showInputMessage="1" showErrorMessage="1" sqref="C13">
      <formula1>$D$13:$D$20</formula1>
    </dataValidation>
    <dataValidation type="decimal" allowBlank="1" showInputMessage="1" showErrorMessage="1" sqref="C4:C5">
      <formula1>0</formula1>
      <formula2>100</formula2>
    </dataValidation>
    <dataValidation type="whole" allowBlank="1" showInputMessage="1" showErrorMessage="1" sqref="C12">
      <formula1>0</formula1>
      <formula2>5</formula2>
    </dataValidation>
    <dataValidation type="whole" allowBlank="1" showInputMessage="1" showErrorMessage="1" sqref="C6:C10">
      <formula1>0</formula1>
      <formula2>14</formula2>
    </dataValidation>
    <dataValidation type="list" allowBlank="1" showInputMessage="1" showErrorMessage="1" sqref="C11">
      <formula1>$D$5:$D$6</formula1>
    </dataValidation>
  </dataValidations>
  <hyperlinks>
    <hyperlink ref="B2" location="Inicio!A1" display="Ir a inicio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7"/>
  <sheetViews>
    <sheetView showRowColHeaders="0" zoomScaleNormal="100" workbookViewId="0">
      <selection activeCell="B2" sqref="B2"/>
    </sheetView>
  </sheetViews>
  <sheetFormatPr baseColWidth="10" defaultRowHeight="14.25" x14ac:dyDescent="0.45"/>
  <cols>
    <col min="1" max="1" width="0.53125" style="4" customWidth="1"/>
    <col min="2" max="2" width="55.86328125" style="4" customWidth="1"/>
    <col min="3" max="3" width="26.19921875" style="4" customWidth="1"/>
    <col min="4" max="4" width="2.265625" style="24" customWidth="1"/>
    <col min="5" max="5" width="1" style="24" customWidth="1"/>
    <col min="6" max="6" width="0.796875" style="24" hidden="1" customWidth="1"/>
    <col min="7" max="7" width="6.640625E-2" style="24" hidden="1" customWidth="1"/>
    <col min="8" max="8" width="6.19921875" style="24" hidden="1" customWidth="1"/>
    <col min="9" max="9" width="1.1328125" style="4" customWidth="1"/>
    <col min="10" max="10" width="10.6640625" style="4"/>
    <col min="11" max="11" width="41.33203125" style="4" customWidth="1"/>
    <col min="12" max="12" width="17.73046875" style="4" customWidth="1"/>
    <col min="13" max="13" width="17.9296875" style="4" customWidth="1"/>
    <col min="14" max="14" width="5.3984375" style="4" customWidth="1"/>
    <col min="15" max="15" width="4.73046875" style="4" customWidth="1"/>
    <col min="16" max="16384" width="10.6640625" style="4"/>
  </cols>
  <sheetData>
    <row r="1" spans="1:29" ht="118.5" customHeight="1" thickBot="1" x14ac:dyDescent="0.5">
      <c r="O1"/>
    </row>
    <row r="2" spans="1:29" ht="19.149999999999999" customHeight="1" thickBot="1" x14ac:dyDescent="0.5">
      <c r="B2" s="96" t="s">
        <v>293</v>
      </c>
      <c r="L2" s="33" t="s">
        <v>241</v>
      </c>
      <c r="M2" s="34" t="s">
        <v>172</v>
      </c>
      <c r="Q2" s="24"/>
      <c r="R2" s="24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8.25" customHeight="1" thickBot="1" x14ac:dyDescent="0.7">
      <c r="B3" s="158" t="s">
        <v>240</v>
      </c>
      <c r="C3" s="159"/>
      <c r="J3" s="160" t="s">
        <v>227</v>
      </c>
      <c r="K3" s="161"/>
      <c r="L3" s="84">
        <f>L4-SUM(L27:L31)</f>
        <v>1921.8353684343936</v>
      </c>
      <c r="M3" s="84">
        <f>M4-SUM(M27:M31)</f>
        <v>1726.4279713936378</v>
      </c>
      <c r="Q3" s="24"/>
      <c r="R3" s="24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8.399999999999999" customHeight="1" thickBot="1" x14ac:dyDescent="0.5">
      <c r="A4" s="24"/>
      <c r="B4" s="26" t="s">
        <v>274</v>
      </c>
      <c r="C4" s="49">
        <v>100</v>
      </c>
      <c r="D4" s="50" t="s">
        <v>140</v>
      </c>
      <c r="J4" s="162" t="s">
        <v>121</v>
      </c>
      <c r="K4" s="163"/>
      <c r="L4" s="152">
        <f>SUM(L6:L25)</f>
        <v>2835.58</v>
      </c>
      <c r="M4" s="152">
        <f>SUM(M6:M25)</f>
        <v>2337.46</v>
      </c>
      <c r="Q4" s="24"/>
      <c r="R4" s="24"/>
      <c r="S4" s="5"/>
      <c r="T4" s="5" t="s">
        <v>122</v>
      </c>
      <c r="U4" s="5"/>
      <c r="V4" s="5">
        <f>$C$6*Datos!G15</f>
        <v>0</v>
      </c>
      <c r="W4" s="5">
        <f>$C$6*Datos!G16</f>
        <v>0</v>
      </c>
      <c r="X4" s="5"/>
      <c r="Y4" s="5"/>
      <c r="Z4" s="5"/>
      <c r="AA4" s="5"/>
      <c r="AB4" s="5"/>
      <c r="AC4" s="5"/>
    </row>
    <row r="5" spans="1:29" ht="18.399999999999999" customHeight="1" thickBot="1" x14ac:dyDescent="0.5">
      <c r="A5" s="24"/>
      <c r="B5" s="26" t="s">
        <v>163</v>
      </c>
      <c r="C5" s="48"/>
      <c r="D5" s="5" t="s">
        <v>285</v>
      </c>
      <c r="E5" s="5"/>
      <c r="F5" s="5"/>
      <c r="G5" s="5"/>
      <c r="H5" s="5"/>
      <c r="I5" s="5"/>
      <c r="J5" s="164"/>
      <c r="K5" s="165"/>
      <c r="L5" s="153"/>
      <c r="M5" s="153"/>
      <c r="Q5" s="24"/>
      <c r="R5" s="24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x14ac:dyDescent="0.45">
      <c r="A6" s="24"/>
      <c r="B6" s="6" t="str">
        <f>T4</f>
        <v>Trienios A1</v>
      </c>
      <c r="C6" s="17"/>
      <c r="D6" s="5" t="s">
        <v>288</v>
      </c>
      <c r="E6" s="5"/>
      <c r="F6" s="5"/>
      <c r="G6" s="5"/>
      <c r="H6" s="5"/>
      <c r="I6" s="5"/>
      <c r="J6" s="63" t="s">
        <v>118</v>
      </c>
      <c r="K6" s="67"/>
      <c r="L6" s="59">
        <f>ROUND((C4/100)*Datos!G4,2)</f>
        <v>1300.8800000000001</v>
      </c>
      <c r="M6" s="59">
        <f>ROUND((C4/100)*Datos!G5,2)</f>
        <v>802.76</v>
      </c>
      <c r="Q6" s="24"/>
      <c r="R6" s="24"/>
      <c r="S6" s="5"/>
      <c r="T6" s="5" t="s">
        <v>123</v>
      </c>
      <c r="U6" s="5"/>
      <c r="V6" s="5">
        <f>$C$7*Datos!G17</f>
        <v>0</v>
      </c>
      <c r="W6" s="5">
        <f>$C$7*Datos!G18</f>
        <v>0</v>
      </c>
      <c r="X6" s="5"/>
      <c r="Y6" s="5"/>
      <c r="Z6" s="5"/>
      <c r="AA6" s="5"/>
      <c r="AB6" s="5"/>
      <c r="AC6" s="5"/>
    </row>
    <row r="7" spans="1:29" x14ac:dyDescent="0.45">
      <c r="A7" s="24"/>
      <c r="B7" s="8" t="str">
        <f t="shared" ref="B7:B10" si="0">T6</f>
        <v>Trienios A2</v>
      </c>
      <c r="C7" s="18">
        <v>0</v>
      </c>
      <c r="D7" s="5"/>
      <c r="E7" s="5"/>
      <c r="F7" s="5"/>
      <c r="G7" s="5"/>
      <c r="H7" s="5"/>
      <c r="I7" s="5"/>
      <c r="J7" s="42" t="s">
        <v>119</v>
      </c>
      <c r="K7"/>
      <c r="L7" s="60">
        <f>ROUND(($C$4/100)*Datos!G9,2)</f>
        <v>683.75</v>
      </c>
      <c r="M7" s="60">
        <f>L7</f>
        <v>683.75</v>
      </c>
      <c r="Q7" s="24"/>
      <c r="R7" s="24"/>
      <c r="S7" s="5"/>
      <c r="T7" s="5" t="s">
        <v>124</v>
      </c>
      <c r="U7" s="5"/>
      <c r="V7" s="5">
        <f>$C$8*Datos!G19</f>
        <v>0</v>
      </c>
      <c r="W7" s="5">
        <f>$C$8*Datos!G20</f>
        <v>0</v>
      </c>
      <c r="X7" s="5"/>
      <c r="Y7" s="5"/>
      <c r="Z7" s="5"/>
      <c r="AA7" s="5"/>
      <c r="AB7" s="5"/>
      <c r="AC7" s="5"/>
    </row>
    <row r="8" spans="1:29" x14ac:dyDescent="0.45">
      <c r="A8" s="24"/>
      <c r="B8" s="8" t="str">
        <f t="shared" si="0"/>
        <v>Trienios C1</v>
      </c>
      <c r="C8" s="18">
        <v>0</v>
      </c>
      <c r="D8" s="5"/>
      <c r="E8" s="5"/>
      <c r="F8" s="5"/>
      <c r="G8" s="5"/>
      <c r="H8" s="5"/>
      <c r="I8" s="5"/>
      <c r="J8" s="42" t="s">
        <v>120</v>
      </c>
      <c r="K8" s="68"/>
      <c r="L8" s="60">
        <f>ROUND(($C$4/100)*Datos!G13,2)</f>
        <v>850.95</v>
      </c>
      <c r="M8" s="60">
        <f>L8</f>
        <v>850.95</v>
      </c>
      <c r="Q8" s="24"/>
      <c r="R8" s="24"/>
      <c r="S8" s="5"/>
      <c r="T8" s="5" t="s">
        <v>125</v>
      </c>
      <c r="U8" s="5"/>
      <c r="V8" s="5">
        <f>$C$9*Datos!G21</f>
        <v>0</v>
      </c>
      <c r="W8" s="5">
        <f>$C$9*Datos!G22</f>
        <v>0</v>
      </c>
      <c r="X8" s="5"/>
      <c r="Y8" s="5"/>
      <c r="Z8" s="5"/>
      <c r="AA8" s="5"/>
      <c r="AB8" s="5"/>
      <c r="AC8" s="5"/>
    </row>
    <row r="9" spans="1:29" x14ac:dyDescent="0.45">
      <c r="A9" s="24"/>
      <c r="B9" s="8" t="str">
        <f t="shared" si="0"/>
        <v>Trienios C2</v>
      </c>
      <c r="C9" s="18">
        <v>0</v>
      </c>
      <c r="D9" s="5"/>
      <c r="E9" s="5"/>
      <c r="F9" s="5"/>
      <c r="G9" s="5"/>
      <c r="H9" s="5"/>
      <c r="I9" s="5"/>
      <c r="J9" s="42" t="s">
        <v>126</v>
      </c>
      <c r="K9" s="68"/>
      <c r="L9" s="60">
        <f>IF(SUM(C6:C10)&gt;0,ROUND(V12*C4/100,2),0)</f>
        <v>0</v>
      </c>
      <c r="M9" s="60">
        <f>W12</f>
        <v>0</v>
      </c>
      <c r="Q9" s="24"/>
      <c r="R9" s="24"/>
      <c r="S9" s="5"/>
      <c r="T9" s="5" t="s">
        <v>127</v>
      </c>
      <c r="U9" s="5"/>
      <c r="V9" s="5">
        <f>$C$10*Datos!G23</f>
        <v>0</v>
      </c>
      <c r="W9" s="5">
        <f>$C$10*Datos!G24</f>
        <v>0</v>
      </c>
      <c r="X9" s="5"/>
      <c r="Y9" s="5"/>
      <c r="Z9" s="5"/>
      <c r="AA9" s="5"/>
      <c r="AB9" s="5"/>
      <c r="AC9" s="5"/>
    </row>
    <row r="10" spans="1:29" ht="14.75" customHeight="1" thickBot="1" x14ac:dyDescent="0.5">
      <c r="A10" s="24"/>
      <c r="B10" s="12" t="str">
        <f t="shared" si="0"/>
        <v>Trienios agrupaciones especiales</v>
      </c>
      <c r="C10" s="19">
        <v>0</v>
      </c>
      <c r="D10" s="5"/>
      <c r="E10" s="5"/>
      <c r="F10" s="5"/>
      <c r="G10" s="5"/>
      <c r="H10" s="5"/>
      <c r="I10" s="5"/>
      <c r="J10" s="42" t="s">
        <v>153</v>
      </c>
      <c r="K10" s="68"/>
      <c r="L10" s="60">
        <f>IF(C12&gt;0,ROUND(N13*C4/100,2),0)</f>
        <v>0</v>
      </c>
      <c r="M10" s="60">
        <f>L10</f>
        <v>0</v>
      </c>
      <c r="Q10" s="24"/>
      <c r="R10" s="24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4.75" customHeight="1" thickBot="1" x14ac:dyDescent="0.5">
      <c r="A11" s="5"/>
      <c r="B11" s="133" t="s">
        <v>284</v>
      </c>
      <c r="C11" s="134" t="s">
        <v>285</v>
      </c>
      <c r="D11" s="5"/>
      <c r="E11" s="5"/>
      <c r="F11" s="5"/>
      <c r="G11" s="5"/>
      <c r="H11" s="5"/>
      <c r="I11" s="5"/>
      <c r="J11" s="42" t="s">
        <v>24</v>
      </c>
      <c r="K11" s="68"/>
      <c r="L11" s="60">
        <f>IF(C13=D14,ROUND(C4*MAX(E27:E32,G27:G32)/100,2),0)</f>
        <v>0</v>
      </c>
      <c r="M11" s="60">
        <f t="shared" ref="M11:M25" si="1">L11</f>
        <v>0</v>
      </c>
      <c r="Q11" s="24"/>
      <c r="R11" s="24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4.75" customHeight="1" thickBot="1" x14ac:dyDescent="0.5">
      <c r="A12" s="5"/>
      <c r="B12" s="27" t="s">
        <v>129</v>
      </c>
      <c r="C12" s="20"/>
      <c r="D12" s="5" t="str">
        <f>IF(OR(C13=D14,C13=D18,C13=D19,C13=D20),D14,"")</f>
        <v/>
      </c>
      <c r="E12" s="5"/>
      <c r="F12" s="5"/>
      <c r="G12" s="5"/>
      <c r="H12" s="5"/>
      <c r="I12" s="5"/>
      <c r="J12" s="42" t="s">
        <v>39</v>
      </c>
      <c r="K12" s="68"/>
      <c r="L12" s="60">
        <f>IF(C13=D16,ROUND(C4*MAX(F27:F31,H27:H31)/100,2),0)</f>
        <v>0</v>
      </c>
      <c r="M12" s="60">
        <f t="shared" si="1"/>
        <v>0</v>
      </c>
      <c r="Q12" s="24"/>
      <c r="R12" s="24"/>
      <c r="S12" s="5"/>
      <c r="T12" s="5" t="s">
        <v>128</v>
      </c>
      <c r="U12" s="5"/>
      <c r="V12" s="5">
        <f>SUM(V4:V9)</f>
        <v>0</v>
      </c>
      <c r="W12" s="5">
        <f>SUM(W4:W9)</f>
        <v>0</v>
      </c>
      <c r="X12" s="5"/>
      <c r="Y12" s="5"/>
      <c r="Z12" s="5"/>
      <c r="AA12" s="5"/>
      <c r="AB12" s="5"/>
      <c r="AC12" s="5"/>
    </row>
    <row r="13" spans="1:29" ht="14.75" customHeight="1" thickBot="1" x14ac:dyDescent="0.5">
      <c r="A13" s="5"/>
      <c r="B13" s="27" t="s">
        <v>280</v>
      </c>
      <c r="C13" s="20" t="s">
        <v>141</v>
      </c>
      <c r="D13" s="5" t="s">
        <v>141</v>
      </c>
      <c r="E13" s="5"/>
      <c r="F13" s="5" t="s">
        <v>27</v>
      </c>
      <c r="G13" s="5" t="s">
        <v>136</v>
      </c>
      <c r="H13" s="5" t="s">
        <v>143</v>
      </c>
      <c r="I13" s="5"/>
      <c r="J13" s="42" t="s">
        <v>40</v>
      </c>
      <c r="K13" s="68"/>
      <c r="L13" s="99">
        <f>IF(C13=D15,ROUND(C4*MAX(F27:F31,H27:H31)/100,2),0)</f>
        <v>0</v>
      </c>
      <c r="M13" s="60">
        <f t="shared" si="1"/>
        <v>0</v>
      </c>
      <c r="N13" s="5">
        <f>IF(C12=1,Datos!J26,IF(C12=2,Datos!J27,IF(C12=3,Datos!J28,IF(C12=4,Datos!J29,IF(C12=5,Datos!J30,0)))))</f>
        <v>0</v>
      </c>
      <c r="Q13" s="24"/>
      <c r="R13" s="24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4.75" customHeight="1" thickBot="1" x14ac:dyDescent="0.5">
      <c r="A14" s="5"/>
      <c r="B14" s="27" t="s">
        <v>130</v>
      </c>
      <c r="C14" s="20"/>
      <c r="D14" s="5" t="s">
        <v>132</v>
      </c>
      <c r="E14" s="5"/>
      <c r="F14" s="5" t="s">
        <v>28</v>
      </c>
      <c r="G14" s="5" t="s">
        <v>137</v>
      </c>
      <c r="H14" s="5" t="s">
        <v>144</v>
      </c>
      <c r="I14" s="5"/>
      <c r="J14" s="42" t="s">
        <v>154</v>
      </c>
      <c r="K14" s="68"/>
      <c r="L14" s="60">
        <f>IF(C13=D17,ROUND(Datos!G77*'Profesores EOI'!C4/100,2),0)</f>
        <v>0</v>
      </c>
      <c r="M14" s="60">
        <f t="shared" si="1"/>
        <v>0</v>
      </c>
      <c r="Q14" s="24"/>
      <c r="R14" s="24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4.75" customHeight="1" thickBot="1" x14ac:dyDescent="0.5">
      <c r="A15" s="5"/>
      <c r="B15" s="27" t="s">
        <v>53</v>
      </c>
      <c r="C15" s="20" t="s">
        <v>144</v>
      </c>
      <c r="D15" s="5" t="s">
        <v>133</v>
      </c>
      <c r="E15" s="5"/>
      <c r="F15" s="5" t="s">
        <v>29</v>
      </c>
      <c r="G15" s="5" t="s">
        <v>138</v>
      </c>
      <c r="H15" s="5"/>
      <c r="I15" s="5"/>
      <c r="J15" s="42" t="s">
        <v>53</v>
      </c>
      <c r="K15" s="68"/>
      <c r="L15" s="60">
        <f>IF(C15="Sí",ROUND(Datos!G91*'Profesores EOI'!C4/100,2),0)</f>
        <v>0</v>
      </c>
      <c r="M15" s="60">
        <f t="shared" si="1"/>
        <v>0</v>
      </c>
      <c r="Q15" s="24"/>
      <c r="R15" s="24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4.75" customHeight="1" thickBot="1" x14ac:dyDescent="0.5">
      <c r="A16" s="5"/>
      <c r="B16" s="133" t="s">
        <v>50</v>
      </c>
      <c r="C16" s="135" t="s">
        <v>144</v>
      </c>
      <c r="D16" s="5" t="s">
        <v>134</v>
      </c>
      <c r="E16" s="5"/>
      <c r="F16" s="5" t="s">
        <v>30</v>
      </c>
      <c r="G16" s="5" t="s">
        <v>139</v>
      </c>
      <c r="H16" s="5" t="s">
        <v>144</v>
      </c>
      <c r="I16" s="5"/>
      <c r="J16" s="42" t="s">
        <v>279</v>
      </c>
      <c r="K16" s="69"/>
      <c r="L16" s="60">
        <f>IF(D21&gt;0,ROUND(C4*MAX(E27:E33,G27:G33)*D21/100,2),0)</f>
        <v>0</v>
      </c>
      <c r="M16" s="60">
        <f t="shared" si="1"/>
        <v>0</v>
      </c>
      <c r="Q16" s="24"/>
      <c r="R16" s="24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4.75" hidden="1" customHeight="1" thickBot="1" x14ac:dyDescent="0.45">
      <c r="A17" s="5"/>
      <c r="B17" s="103" t="s">
        <v>51</v>
      </c>
      <c r="C17" s="104" t="s">
        <v>144</v>
      </c>
      <c r="D17" s="5" t="s">
        <v>142</v>
      </c>
      <c r="E17" s="5"/>
      <c r="F17" s="5" t="s">
        <v>31</v>
      </c>
      <c r="G17" s="5"/>
      <c r="H17" s="5" t="s">
        <v>145</v>
      </c>
      <c r="I17" s="5"/>
      <c r="J17" s="42"/>
      <c r="K17" s="68"/>
      <c r="L17" s="60"/>
      <c r="M17" s="60">
        <f t="shared" si="1"/>
        <v>0</v>
      </c>
      <c r="Q17" s="24"/>
      <c r="R17" s="24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14.75" hidden="1" customHeight="1" thickBot="1" x14ac:dyDescent="0.45">
      <c r="A18" s="5"/>
      <c r="B18" s="103" t="s">
        <v>104</v>
      </c>
      <c r="C18" s="104" t="s">
        <v>144</v>
      </c>
      <c r="D18" s="5" t="s">
        <v>281</v>
      </c>
      <c r="E18" s="5"/>
      <c r="F18" s="5" t="s">
        <v>32</v>
      </c>
      <c r="G18" s="5"/>
      <c r="H18" s="5" t="s">
        <v>146</v>
      </c>
      <c r="I18" s="5"/>
      <c r="J18" s="42"/>
      <c r="K18" s="68"/>
      <c r="L18" s="60"/>
      <c r="M18" s="60">
        <f t="shared" si="1"/>
        <v>0</v>
      </c>
      <c r="Q18" s="24"/>
      <c r="R18" s="24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14.75" hidden="1" customHeight="1" thickBot="1" x14ac:dyDescent="0.45">
      <c r="A19" s="5"/>
      <c r="B19" s="103" t="s">
        <v>102</v>
      </c>
      <c r="C19" s="104" t="s">
        <v>144</v>
      </c>
      <c r="D19" s="5" t="s">
        <v>282</v>
      </c>
      <c r="E19" s="5"/>
      <c r="F19" s="5"/>
      <c r="G19" s="5"/>
      <c r="H19" s="5" t="s">
        <v>147</v>
      </c>
      <c r="I19" s="5"/>
      <c r="J19" s="42"/>
      <c r="K19" s="68"/>
      <c r="L19" s="60"/>
      <c r="M19" s="60">
        <f t="shared" si="1"/>
        <v>0</v>
      </c>
      <c r="Q19" s="24"/>
      <c r="R19" s="24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14.75" hidden="1" customHeight="1" thickBot="1" x14ac:dyDescent="0.45">
      <c r="A20" s="5"/>
      <c r="B20" s="103" t="s">
        <v>103</v>
      </c>
      <c r="C20" s="104" t="s">
        <v>144</v>
      </c>
      <c r="D20" s="5" t="s">
        <v>283</v>
      </c>
      <c r="E20" s="5"/>
      <c r="F20" s="5"/>
      <c r="G20" s="5"/>
      <c r="H20" s="5"/>
      <c r="I20" s="5"/>
      <c r="K20" s="68"/>
      <c r="L20" s="60">
        <f>IF(C15="Sí",ROUND(Datos!G91*'Profesores EOI'!C4/100,2),0)</f>
        <v>0</v>
      </c>
      <c r="M20" s="60">
        <f t="shared" si="1"/>
        <v>0</v>
      </c>
      <c r="Q20" s="24"/>
      <c r="R20" s="24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14.75" hidden="1" customHeight="1" thickBot="1" x14ac:dyDescent="0.45">
      <c r="A21" s="5"/>
      <c r="B21" s="103" t="s">
        <v>54</v>
      </c>
      <c r="C21" s="104" t="s">
        <v>144</v>
      </c>
      <c r="D21" s="5">
        <f>IF(C13=D18,0.25,IF(C13=D19,0.4,IF(C13=D20,0.6,0)))</f>
        <v>0</v>
      </c>
      <c r="E21" s="5"/>
      <c r="F21" s="5"/>
      <c r="G21" s="5"/>
      <c r="H21" s="5"/>
      <c r="I21" s="5"/>
      <c r="J21" s="42" t="s">
        <v>276</v>
      </c>
      <c r="K21" s="68"/>
      <c r="L21" s="60">
        <f>IF(C22="Sí",ROUND(Datos!G97*'Profesores EOI'!C4/100,2),0)</f>
        <v>0</v>
      </c>
      <c r="M21" s="60">
        <f t="shared" si="1"/>
        <v>0</v>
      </c>
      <c r="Q21" s="24"/>
      <c r="R21" s="24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14.75" hidden="1" customHeight="1" x14ac:dyDescent="0.45">
      <c r="A22" s="5"/>
      <c r="B22" s="103" t="s">
        <v>275</v>
      </c>
      <c r="C22" s="104" t="s">
        <v>144</v>
      </c>
      <c r="D22" s="5"/>
      <c r="E22" s="5"/>
      <c r="F22" s="5"/>
      <c r="G22" s="5"/>
      <c r="H22" s="5"/>
      <c r="I22" s="5"/>
      <c r="J22" s="42" t="s">
        <v>158</v>
      </c>
      <c r="K22" s="68"/>
      <c r="L22" s="60">
        <f>IF(C23="Sí",ROUND(C4*SUM(D23:D25)/100,2),0)</f>
        <v>0</v>
      </c>
      <c r="M22" s="60">
        <f>L22</f>
        <v>0</v>
      </c>
      <c r="Q22" s="24"/>
      <c r="R22" s="24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14.75" hidden="1" customHeight="1" x14ac:dyDescent="0.45">
      <c r="A23" s="5"/>
      <c r="B23" s="133" t="s">
        <v>150</v>
      </c>
      <c r="C23" s="135" t="s">
        <v>144</v>
      </c>
      <c r="D23" s="5">
        <f>IF(C23="No",0,Datos!G102)</f>
        <v>0</v>
      </c>
      <c r="E23" s="5"/>
      <c r="F23" s="5"/>
      <c r="G23" s="5"/>
      <c r="H23" s="5"/>
      <c r="I23" s="5"/>
      <c r="J23" s="42" t="s">
        <v>159</v>
      </c>
      <c r="K23" s="68"/>
      <c r="L23" s="60">
        <f>IF(C26="Sí",ROUND(C4*MIN(D27:D36)/100,2),0)</f>
        <v>0</v>
      </c>
      <c r="M23" s="60">
        <f>L23</f>
        <v>0</v>
      </c>
      <c r="Q23" s="24"/>
      <c r="R23" s="24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4.75" hidden="1" customHeight="1" x14ac:dyDescent="0.45">
      <c r="A24" s="5"/>
      <c r="B24" s="136" t="s">
        <v>148</v>
      </c>
      <c r="C24" s="135" t="s">
        <v>144</v>
      </c>
      <c r="D24" s="5">
        <f>IF(AND(C23="Sí",C24="Sí"),Datos!G103,0)</f>
        <v>0</v>
      </c>
      <c r="E24" s="5"/>
      <c r="F24" s="5"/>
      <c r="G24" s="5"/>
      <c r="H24" s="5"/>
      <c r="I24" s="5"/>
      <c r="L24" s="60">
        <f>IF(D21&gt;0,ROUND(C4*MAX(E27:E33,G27:G33)*D21/100,2),0)</f>
        <v>0</v>
      </c>
      <c r="M24" s="60">
        <f>L24</f>
        <v>0</v>
      </c>
      <c r="Q24" s="24"/>
      <c r="R24" s="24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14.75" hidden="1" customHeight="1" thickBot="1" x14ac:dyDescent="0.5">
      <c r="A25" s="5"/>
      <c r="B25" s="136" t="s">
        <v>149</v>
      </c>
      <c r="C25" s="135">
        <v>0</v>
      </c>
      <c r="D25" s="5">
        <f>IF(C23="Sí",C25*Datos!G104,0)</f>
        <v>0</v>
      </c>
      <c r="E25" s="5"/>
      <c r="F25" s="5"/>
      <c r="G25" s="5"/>
      <c r="H25" s="5"/>
      <c r="I25" s="5"/>
      <c r="J25" s="61" t="s">
        <v>289</v>
      </c>
      <c r="K25" s="70"/>
      <c r="L25" s="62">
        <f>IF(C21="Sí",ROUND(Datos!G92*C4/100,2),0)</f>
        <v>0</v>
      </c>
      <c r="M25" s="62">
        <f t="shared" si="1"/>
        <v>0</v>
      </c>
      <c r="Q25" s="24"/>
      <c r="R25" s="24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14.75" customHeight="1" x14ac:dyDescent="0.45">
      <c r="A26" s="5"/>
      <c r="B26" s="133" t="s">
        <v>151</v>
      </c>
      <c r="C26" s="135" t="s">
        <v>144</v>
      </c>
      <c r="D26" s="5"/>
      <c r="E26" s="5" t="s">
        <v>131</v>
      </c>
      <c r="F26" s="5" t="s">
        <v>160</v>
      </c>
      <c r="G26" s="5" t="s">
        <v>286</v>
      </c>
      <c r="H26" s="5" t="s">
        <v>287</v>
      </c>
      <c r="I26" s="5"/>
      <c r="J26" s="44" t="s">
        <v>168</v>
      </c>
      <c r="K26" s="45"/>
      <c r="L26" s="47"/>
      <c r="M26" s="45"/>
      <c r="Q26" s="24"/>
      <c r="R26" s="24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14.75" customHeight="1" x14ac:dyDescent="0.45">
      <c r="A27" s="5"/>
      <c r="B27" s="136" t="s">
        <v>152</v>
      </c>
      <c r="C27" s="135">
        <v>0</v>
      </c>
      <c r="D27" s="5">
        <f>IF($C$27&lt;=50,Datos!G107,"")</f>
        <v>16.559999999999999</v>
      </c>
      <c r="E27" s="5" t="str">
        <f>IF(AND(C11=D5,$D12=$D$14,$C$14=F13),Datos!G64,"")</f>
        <v/>
      </c>
      <c r="F27" s="5" t="str">
        <f>IF(AND(OR($C$13=$D$15,$C$13=$D$16),$C$14=F13,C11=D5),Datos!G68,"")</f>
        <v/>
      </c>
      <c r="G27" s="5" t="str">
        <f>IF(AND(C11=D6,$D12=$D$14,$C$14=F13),Datos!G32,"")</f>
        <v/>
      </c>
      <c r="H27" s="5" t="str">
        <f>IF(AND(OR($C$13=$D$15,$C$13=$D$16),$C$14=F13,C11=D6),Datos!G38,"")</f>
        <v/>
      </c>
      <c r="I27" s="5"/>
      <c r="J27" s="9" t="s">
        <v>237</v>
      </c>
      <c r="K27" s="46"/>
      <c r="L27" s="22">
        <v>51.68</v>
      </c>
      <c r="M27" s="56">
        <f>L27</f>
        <v>51.68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4.65" thickBot="1" x14ac:dyDescent="0.5">
      <c r="A28" s="5"/>
      <c r="B28" s="154" t="s">
        <v>239</v>
      </c>
      <c r="C28" s="155"/>
      <c r="D28" s="5">
        <f>IF($C$27&lt;=100,Datos!G108,"")</f>
        <v>33.119999999999997</v>
      </c>
      <c r="E28" s="5" t="str">
        <f>IF(AND(C11=D5,$D$12=$D$14,$C$14=F14),Datos!G65,"")</f>
        <v/>
      </c>
      <c r="F28" s="5" t="str">
        <f>IF(AND(OR($C$13=$D$15,$C$13=$D$16),$C$14=F14,C11=D5),Datos!G69,"")</f>
        <v/>
      </c>
      <c r="G28" s="5" t="str">
        <f>IF(AND(C11=D6,$D12=$D$14,$C$14=F14),Datos!G33,"")</f>
        <v/>
      </c>
      <c r="H28" s="5" t="str">
        <f>IF(AND(OR($C$13=$D$15,$C$13=$D$16),$C$14=F14,C11=D6),Datos!G39,"")</f>
        <v/>
      </c>
      <c r="I28" s="5"/>
      <c r="J28" s="9" t="s">
        <v>238</v>
      </c>
      <c r="K28" s="46"/>
      <c r="L28" s="22">
        <v>118.04</v>
      </c>
      <c r="M28" s="56">
        <f>L28</f>
        <v>118.04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4.65" thickBot="1" x14ac:dyDescent="0.5">
      <c r="A29" s="5"/>
      <c r="B29" s="27" t="s">
        <v>164</v>
      </c>
      <c r="C29" s="20" t="s">
        <v>167</v>
      </c>
      <c r="D29" s="5">
        <f>IF($C$27&lt;=150,Datos!G109,"")</f>
        <v>49.68</v>
      </c>
      <c r="E29" s="5" t="str">
        <f>IF(AND(C11=D5,$D$12=$D$14,$C$14=F15),Datos!G66,"")</f>
        <v/>
      </c>
      <c r="F29" s="5" t="str">
        <f>IF(AND(OR($C$13=$D$15,$C$13=$D$16),$C$14=F15,C11=D5),Datos!G70,"")</f>
        <v/>
      </c>
      <c r="G29" s="5" t="str">
        <f>IF(AND(C11=D6,$D12=$D$14,$C$14=F15),Datos!G34,"")</f>
        <v/>
      </c>
      <c r="H29" s="5" t="str">
        <f>IF(AND(OR($C$13=$D$15,$C$13=$D$16),$C$14=F15,C11=D6),Datos!G40,"")</f>
        <v/>
      </c>
      <c r="I29" s="5"/>
      <c r="J29" s="9" t="s">
        <v>169</v>
      </c>
      <c r="K29" s="46"/>
      <c r="L29" s="22">
        <f>IF(OR(C29=A36,AND(C29=A35,C30&gt;=2011)),(L4+(M4/6))*L68,0)</f>
        <v>0</v>
      </c>
      <c r="M29" s="11">
        <v>0</v>
      </c>
      <c r="P29" s="5"/>
      <c r="Q29" s="5"/>
      <c r="R29" s="5"/>
      <c r="S29" s="5"/>
      <c r="T29" s="5"/>
      <c r="U29" s="5"/>
      <c r="V29" s="5"/>
      <c r="W29" s="5"/>
    </row>
    <row r="30" spans="1:29" ht="14.65" thickBot="1" x14ac:dyDescent="0.5">
      <c r="A30" s="5"/>
      <c r="B30" s="27" t="str">
        <f>IF(C29=A35,"¿En qué año aprobaste la oposición?","")</f>
        <v/>
      </c>
      <c r="C30" s="20"/>
      <c r="D30" s="5">
        <f>IF($C$27&lt;=200,Datos!G110,"")</f>
        <v>66.239999999999995</v>
      </c>
      <c r="E30" s="5" t="str">
        <f>IF(AND(C11=D5,$D$12=$D$14,$C$14=F16),Datos!G67,"")</f>
        <v/>
      </c>
      <c r="F30" s="5" t="str">
        <f>IF(AND(OR($C$13=$D$15,$C$13=$D$16),$C$14=F16,C11=D5),Datos!G71,"")</f>
        <v/>
      </c>
      <c r="G30" s="5" t="str">
        <f>IF(AND(C11=D6,$D12=$D$14,$C$14=F13),Datos!G35,"")</f>
        <v/>
      </c>
      <c r="H30" s="5" t="str">
        <f>IF(AND(OR($C$13=$D$15,$C$13=$D$16),$C$14=F16,C11=D6),Datos!G41,"")</f>
        <v/>
      </c>
      <c r="I30" s="5"/>
      <c r="J30" s="9" t="s">
        <v>170</v>
      </c>
      <c r="K30" s="46"/>
      <c r="L30" s="53">
        <f>IF(C29=A37,L4*0.0647+M4*0.0647/6,0)</f>
        <v>208.66763633333332</v>
      </c>
      <c r="M30" s="11">
        <v>0</v>
      </c>
      <c r="P30" s="5"/>
      <c r="Q30" s="5"/>
      <c r="R30" s="5"/>
      <c r="S30" s="5"/>
      <c r="T30" s="5"/>
      <c r="U30" s="5"/>
      <c r="V30" s="5"/>
      <c r="W30" s="5"/>
    </row>
    <row r="31" spans="1:29" ht="14.65" thickBot="1" x14ac:dyDescent="0.5">
      <c r="A31" s="5"/>
      <c r="B31" s="166" t="s">
        <v>175</v>
      </c>
      <c r="C31" s="167"/>
      <c r="D31" s="5">
        <f>IF($C$27&lt;=250,Datos!G111,"")</f>
        <v>82.8</v>
      </c>
      <c r="E31" s="5" t="str">
        <f>IF(AND($C$13=$D$14,$C$15&lt;&gt;"",$C$15&lt;&gt;$G$13,$C$14=F17),Datos!G36,"")</f>
        <v/>
      </c>
      <c r="F31" s="5"/>
      <c r="G31" s="5" t="str">
        <f>IF(AND(C11=D6,$D12=$D$14,$C$14=F16),Datos!G36,"")</f>
        <v/>
      </c>
      <c r="H31" s="5" t="str">
        <f>IF(AND(OR($C$13=$D$15,$C$13=$D$16),$C$14=F17,C11=D6),Datos!G42,"")</f>
        <v/>
      </c>
      <c r="I31" s="5"/>
      <c r="J31" s="16" t="s">
        <v>171</v>
      </c>
      <c r="K31" s="55">
        <f>L61</f>
        <v>0.18879982057719161</v>
      </c>
      <c r="L31" s="54">
        <f>L4*K31</f>
        <v>535.35699523227299</v>
      </c>
      <c r="M31" s="57">
        <f>M4*K31</f>
        <v>441.31202860636228</v>
      </c>
      <c r="O31" s="5"/>
      <c r="P31" s="5"/>
      <c r="Q31" s="5"/>
      <c r="R31" s="5"/>
      <c r="S31" s="5"/>
      <c r="T31" s="5"/>
      <c r="U31" s="5"/>
      <c r="V31" s="5"/>
      <c r="W31" s="5"/>
    </row>
    <row r="32" spans="1:29" ht="14.65" thickBot="1" x14ac:dyDescent="0.5">
      <c r="A32" s="5"/>
      <c r="B32" s="27" t="s">
        <v>177</v>
      </c>
      <c r="C32" s="20" t="s">
        <v>144</v>
      </c>
      <c r="D32" s="5">
        <f>IF($C$27&lt;=300,Datos!G112,"")</f>
        <v>99.36</v>
      </c>
      <c r="E32" s="5" t="str">
        <f>IF(AND($C$13=$D$14,$C$15&lt;&gt;"",$C$15&lt;&gt;$G$13,$C$14=F18),Datos!G37,"")</f>
        <v/>
      </c>
      <c r="F32" s="5"/>
      <c r="G32" s="5" t="str">
        <f>IF(AND(C11=D6,$D12=$D$14,$C$14=F17),Datos!G37,"")</f>
        <v/>
      </c>
      <c r="H32" s="5"/>
      <c r="I32" s="5"/>
      <c r="O32" s="5" t="s">
        <v>182</v>
      </c>
      <c r="P32" s="5"/>
      <c r="Q32" s="5"/>
      <c r="R32" s="5"/>
      <c r="S32" s="5"/>
      <c r="T32" s="5"/>
      <c r="U32" s="5"/>
      <c r="V32" s="5"/>
      <c r="W32" s="5"/>
    </row>
    <row r="33" spans="1:23" ht="14.65" thickBot="1" x14ac:dyDescent="0.5">
      <c r="A33" s="5"/>
      <c r="B33" s="27" t="s">
        <v>197</v>
      </c>
      <c r="C33" s="148">
        <v>0</v>
      </c>
      <c r="D33" s="5">
        <f>IF($C$27&lt;=350,Datos!G113,"")</f>
        <v>115.92</v>
      </c>
      <c r="E33" s="5"/>
      <c r="F33" s="5" t="str">
        <f>IF(AND(OR($C$13=$D$15,$C$13=$D$16),$C$15&lt;&gt;"",$C$15&lt;&gt;$G$13,$C$14=F19),Datos!G44,"")</f>
        <v/>
      </c>
      <c r="G33" s="5" t="str">
        <f>IF(AND(C11=D6,$D12=$D$14,$C$14=F18),Datos!G38,"")</f>
        <v/>
      </c>
      <c r="H33" s="5"/>
      <c r="I33" s="5"/>
      <c r="J33" s="25"/>
      <c r="K33" s="25"/>
      <c r="L33" s="25"/>
      <c r="M33" s="25"/>
      <c r="O33" s="5" t="s">
        <v>183</v>
      </c>
      <c r="P33" s="5">
        <v>2400</v>
      </c>
      <c r="Q33" s="5">
        <v>2400</v>
      </c>
      <c r="R33" s="5"/>
      <c r="S33" s="5"/>
      <c r="T33" s="5"/>
      <c r="U33" s="5"/>
      <c r="V33" s="5"/>
      <c r="W33" s="5"/>
    </row>
    <row r="34" spans="1:23" ht="14.65" thickBot="1" x14ac:dyDescent="0.5">
      <c r="A34" s="5"/>
      <c r="B34" s="27" t="s">
        <v>196</v>
      </c>
      <c r="C34" s="148">
        <v>0</v>
      </c>
      <c r="D34" s="5">
        <f>IF($C$27&lt;=450,Datos!G114,"")</f>
        <v>132.47999999999999</v>
      </c>
      <c r="E34" s="5"/>
      <c r="F34" s="5"/>
      <c r="G34" s="5"/>
      <c r="H34" s="5"/>
      <c r="I34" s="5"/>
      <c r="J34" s="85" t="s">
        <v>173</v>
      </c>
      <c r="K34" s="86"/>
      <c r="L34" s="87"/>
      <c r="M34" s="25"/>
      <c r="O34" s="5" t="s">
        <v>184</v>
      </c>
      <c r="P34" s="5">
        <v>2700</v>
      </c>
      <c r="Q34" s="5">
        <f>Q33+P34</f>
        <v>5100</v>
      </c>
      <c r="R34" s="5"/>
      <c r="S34" s="5"/>
      <c r="T34" s="5"/>
      <c r="U34" s="5"/>
      <c r="V34" s="5"/>
      <c r="W34" s="5"/>
    </row>
    <row r="35" spans="1:23" ht="14.65" thickBot="1" x14ac:dyDescent="0.5">
      <c r="A35" s="5" t="s">
        <v>165</v>
      </c>
      <c r="B35" s="28" t="s">
        <v>180</v>
      </c>
      <c r="C35" s="20">
        <v>0</v>
      </c>
      <c r="D35" s="5">
        <f>IF($C$27&lt;=450,Datos!G115,"")</f>
        <v>149.04</v>
      </c>
      <c r="E35" s="5"/>
      <c r="F35" s="5"/>
      <c r="G35" s="5"/>
      <c r="H35" s="5"/>
      <c r="I35" s="5"/>
      <c r="J35" s="42" t="s">
        <v>174</v>
      </c>
      <c r="K35" s="43"/>
      <c r="L35" s="81">
        <f>L4*12+M4*2</f>
        <v>38701.879999999997</v>
      </c>
      <c r="O35" s="5" t="s">
        <v>185</v>
      </c>
      <c r="P35" s="5">
        <v>4000</v>
      </c>
      <c r="Q35" s="5">
        <f>Q34+P35</f>
        <v>9100</v>
      </c>
      <c r="R35" s="5"/>
      <c r="S35" s="5"/>
      <c r="T35" s="5"/>
      <c r="U35" s="5"/>
      <c r="V35" s="5"/>
      <c r="W35" s="5"/>
    </row>
    <row r="36" spans="1:23" ht="14.75" customHeight="1" thickBot="1" x14ac:dyDescent="0.5">
      <c r="A36" s="5" t="s">
        <v>166</v>
      </c>
      <c r="B36" s="27" t="s">
        <v>179</v>
      </c>
      <c r="C36" s="20">
        <v>0</v>
      </c>
      <c r="D36" s="5">
        <f>IF($C$27&lt;=1000050,Datos!G116,"")</f>
        <v>165.6</v>
      </c>
      <c r="E36" s="5"/>
      <c r="F36" s="5"/>
      <c r="G36" s="5"/>
      <c r="H36" s="5"/>
      <c r="I36" s="5"/>
      <c r="J36" s="9" t="s">
        <v>265</v>
      </c>
      <c r="K36" s="10"/>
      <c r="L36" s="11">
        <f>IF(AND(C47="Sí",L35&lt;33007.2),TRUNC(L35*0.02),0)</f>
        <v>0</v>
      </c>
      <c r="M36" s="24"/>
      <c r="N36" s="24"/>
      <c r="O36" s="5" t="s">
        <v>186</v>
      </c>
      <c r="P36" s="5">
        <v>4500</v>
      </c>
      <c r="Q36" s="5"/>
      <c r="R36" s="5"/>
      <c r="S36" s="5"/>
      <c r="T36" s="5"/>
      <c r="U36" s="5"/>
      <c r="V36" s="5"/>
      <c r="W36" s="5"/>
    </row>
    <row r="37" spans="1:23" ht="14.75" customHeight="1" thickBot="1" x14ac:dyDescent="0.5">
      <c r="A37" s="5" t="s">
        <v>167</v>
      </c>
      <c r="B37" s="29" t="s">
        <v>202</v>
      </c>
      <c r="C37" s="20" t="s">
        <v>144</v>
      </c>
      <c r="D37" s="5" t="str">
        <f>IF(B69=A68,"Sí","No")</f>
        <v>No</v>
      </c>
      <c r="E37" s="5"/>
      <c r="F37" s="5"/>
      <c r="G37" s="5"/>
      <c r="H37" s="5"/>
      <c r="I37" s="5"/>
      <c r="J37" s="9" t="s">
        <v>271</v>
      </c>
      <c r="K37" s="10"/>
      <c r="L37" s="11">
        <f>IF(L35-L38&lt;14047.5,6498,IF(L35-L38&lt;19747.5,6498-(1.14*(L35-L38-14047.5)),0))</f>
        <v>0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4.75" customHeight="1" thickBot="1" x14ac:dyDescent="0.5">
      <c r="A38" s="5" t="s">
        <v>188</v>
      </c>
      <c r="B38" s="27" t="s">
        <v>187</v>
      </c>
      <c r="C38" s="20" t="s">
        <v>188</v>
      </c>
      <c r="D38" s="5"/>
      <c r="E38" s="5"/>
      <c r="F38" s="5"/>
      <c r="G38" s="5"/>
      <c r="H38" s="5"/>
      <c r="I38" s="5"/>
      <c r="J38" s="42" t="s">
        <v>242</v>
      </c>
      <c r="K38" s="43"/>
      <c r="L38" s="81">
        <f>SUM(L26:L29)*14+SUM(M26:M29)*2</f>
        <v>2715.52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4.75" customHeight="1" thickBot="1" x14ac:dyDescent="0.5">
      <c r="A39" s="5" t="s">
        <v>190</v>
      </c>
      <c r="B39" s="29" t="s">
        <v>195</v>
      </c>
      <c r="C39" s="20" t="s">
        <v>144</v>
      </c>
      <c r="D39" s="5"/>
      <c r="E39" s="5"/>
      <c r="F39" s="5"/>
      <c r="G39" s="5"/>
      <c r="H39" s="5"/>
      <c r="I39" s="5"/>
      <c r="J39" s="42" t="s">
        <v>247</v>
      </c>
      <c r="K39" s="43"/>
      <c r="L39" s="81">
        <f>C33+2000+M40</f>
        <v>2000</v>
      </c>
      <c r="M39" s="5"/>
      <c r="N39" s="5"/>
      <c r="O39" s="24"/>
      <c r="P39" s="5"/>
      <c r="Q39" s="5"/>
      <c r="R39" s="5"/>
      <c r="S39" s="5"/>
      <c r="T39" s="5"/>
      <c r="U39" s="5"/>
      <c r="V39" s="5"/>
      <c r="W39" s="5"/>
    </row>
    <row r="40" spans="1:23" ht="14.75" customHeight="1" thickBot="1" x14ac:dyDescent="0.5">
      <c r="A40" s="5" t="s">
        <v>189</v>
      </c>
      <c r="B40" s="27" t="s">
        <v>198</v>
      </c>
      <c r="C40" s="20">
        <v>0</v>
      </c>
      <c r="D40" s="5"/>
      <c r="E40" s="5"/>
      <c r="F40" s="5"/>
      <c r="G40" s="5"/>
      <c r="H40" s="5"/>
      <c r="I40" s="5"/>
      <c r="J40" s="42" t="s">
        <v>176</v>
      </c>
      <c r="K40" s="43"/>
      <c r="L40" s="81">
        <f>IF(C32="Sí",1150+5550,5550)</f>
        <v>5550</v>
      </c>
      <c r="M40" s="5">
        <f>IF(AND(C38=A41,C39="No"),3500,IF(OR(C38=A40,C38=A41),7750,0))</f>
        <v>0</v>
      </c>
      <c r="N40" s="5"/>
      <c r="O40" s="24"/>
      <c r="P40" s="5"/>
      <c r="Q40" s="5"/>
      <c r="R40" s="5"/>
      <c r="S40" s="5"/>
      <c r="T40" s="5"/>
      <c r="U40" s="5"/>
      <c r="V40" s="5"/>
      <c r="W40" s="5"/>
    </row>
    <row r="41" spans="1:23" ht="14.75" customHeight="1" x14ac:dyDescent="0.45">
      <c r="A41" s="5" t="s">
        <v>191</v>
      </c>
      <c r="B41" s="168" t="s">
        <v>213</v>
      </c>
      <c r="C41" s="170">
        <v>0</v>
      </c>
      <c r="D41" s="5"/>
      <c r="E41" s="5"/>
      <c r="F41" s="5"/>
      <c r="G41" s="5"/>
      <c r="H41" s="5"/>
      <c r="I41" s="5"/>
      <c r="J41" s="42" t="s">
        <v>178</v>
      </c>
      <c r="K41" s="43"/>
      <c r="L41" s="81">
        <f>SUM(C70:C73)</f>
        <v>0</v>
      </c>
      <c r="M41" s="5"/>
      <c r="N41" s="5"/>
      <c r="O41" s="24"/>
      <c r="P41" s="5"/>
      <c r="Q41" s="5"/>
      <c r="R41" s="5"/>
      <c r="S41" s="5"/>
      <c r="T41" s="5"/>
      <c r="U41" s="5"/>
      <c r="V41" s="5"/>
      <c r="W41" s="5"/>
    </row>
    <row r="42" spans="1:23" ht="14.75" customHeight="1" x14ac:dyDescent="0.45">
      <c r="A42" s="5"/>
      <c r="B42" s="168"/>
      <c r="C42" s="171"/>
      <c r="D42" s="5"/>
      <c r="E42" s="5"/>
      <c r="F42" s="5"/>
      <c r="G42" s="5"/>
      <c r="H42" s="5"/>
      <c r="I42" s="5"/>
      <c r="J42" s="42" t="s">
        <v>181</v>
      </c>
      <c r="K42" s="43"/>
      <c r="L42" s="81">
        <f>IF(C37="no",M48/2+1400*C36,M48+2800*C36)</f>
        <v>0</v>
      </c>
      <c r="M42" s="5"/>
      <c r="N42" s="5"/>
      <c r="O42" s="24"/>
      <c r="P42" s="5"/>
      <c r="Q42" s="5"/>
      <c r="R42" s="5"/>
      <c r="S42" s="5"/>
      <c r="T42" s="5"/>
      <c r="U42" s="5"/>
      <c r="V42" s="5"/>
      <c r="W42" s="5"/>
    </row>
    <row r="43" spans="1:23" ht="14.75" customHeight="1" thickBot="1" x14ac:dyDescent="0.5">
      <c r="A43" s="5"/>
      <c r="B43" s="169"/>
      <c r="C43" s="172"/>
      <c r="D43" s="5"/>
      <c r="E43" s="5"/>
      <c r="F43" s="5"/>
      <c r="G43" s="5"/>
      <c r="H43" s="5"/>
      <c r="I43" s="5"/>
      <c r="J43" s="42" t="s">
        <v>192</v>
      </c>
      <c r="K43" s="43"/>
      <c r="L43" s="81">
        <f>IF(C38=A40,9000,IF(C38=A41,3000,0))</f>
        <v>0</v>
      </c>
      <c r="M43" s="5"/>
      <c r="N43" s="5"/>
      <c r="O43" s="24"/>
      <c r="P43" s="5"/>
      <c r="Q43" s="5"/>
      <c r="R43" s="5"/>
      <c r="S43" s="5"/>
      <c r="T43" s="5"/>
      <c r="U43" s="5"/>
      <c r="V43" s="5"/>
      <c r="W43" s="5"/>
    </row>
    <row r="44" spans="1:23" ht="14.75" customHeight="1" x14ac:dyDescent="0.45">
      <c r="A44" s="5"/>
      <c r="B44" s="173" t="s">
        <v>213</v>
      </c>
      <c r="C44" s="170">
        <v>0</v>
      </c>
      <c r="D44" s="5"/>
      <c r="E44" s="5"/>
      <c r="F44" s="5"/>
      <c r="G44" s="5"/>
      <c r="H44" s="5"/>
      <c r="I44" s="5"/>
      <c r="J44" s="42" t="s">
        <v>193</v>
      </c>
      <c r="K44" s="43"/>
      <c r="L44" s="81">
        <f>SUM(C74:C77)</f>
        <v>0</v>
      </c>
      <c r="M44" s="5"/>
      <c r="N44" s="5"/>
      <c r="O44" s="24"/>
      <c r="P44" s="5"/>
      <c r="Q44" s="5"/>
      <c r="R44" s="5"/>
      <c r="S44" s="5"/>
      <c r="T44" s="5"/>
      <c r="U44" s="5"/>
      <c r="V44" s="5"/>
      <c r="W44" s="5"/>
    </row>
    <row r="45" spans="1:23" ht="14.75" customHeight="1" x14ac:dyDescent="0.45">
      <c r="A45" s="5"/>
      <c r="B45" s="168"/>
      <c r="C45" s="171"/>
      <c r="D45" s="5"/>
      <c r="E45" s="5"/>
      <c r="F45" s="5"/>
      <c r="G45" s="5"/>
      <c r="H45" s="5"/>
      <c r="I45" s="5"/>
      <c r="J45" s="42" t="s">
        <v>194</v>
      </c>
      <c r="K45" s="43"/>
      <c r="L45" s="81">
        <f>IF(C37="Sí",M50,M50/2)</f>
        <v>0</v>
      </c>
      <c r="M45" s="5"/>
      <c r="N45" s="5"/>
      <c r="O45" s="24"/>
      <c r="P45" s="5"/>
      <c r="Q45" s="5"/>
      <c r="R45" s="5"/>
      <c r="S45" s="5"/>
      <c r="T45" s="5"/>
      <c r="U45" s="5"/>
      <c r="V45" s="5"/>
      <c r="W45" s="5"/>
    </row>
    <row r="46" spans="1:23" ht="14.75" customHeight="1" thickBot="1" x14ac:dyDescent="0.5">
      <c r="A46" s="5"/>
      <c r="B46" s="169"/>
      <c r="C46" s="172"/>
      <c r="D46" s="5"/>
      <c r="E46" s="5"/>
      <c r="F46" s="5"/>
      <c r="G46" s="5"/>
      <c r="H46" s="5"/>
      <c r="I46" s="5"/>
      <c r="J46" s="42" t="s">
        <v>212</v>
      </c>
      <c r="K46" s="43"/>
      <c r="L46" s="81">
        <f>IF(OR(C39="Sí",C38=A40),3000,0)</f>
        <v>0</v>
      </c>
      <c r="M46" s="5"/>
      <c r="N46" s="5"/>
      <c r="O46" s="24"/>
      <c r="P46" s="5"/>
      <c r="Q46" s="5"/>
      <c r="R46" s="5"/>
      <c r="S46" s="5"/>
      <c r="T46" s="5"/>
      <c r="U46" s="5"/>
      <c r="V46" s="5"/>
      <c r="W46" s="5"/>
    </row>
    <row r="47" spans="1:23" ht="14.75" customHeight="1" thickBot="1" x14ac:dyDescent="0.5">
      <c r="A47" s="24"/>
      <c r="B47" s="27" t="s">
        <v>273</v>
      </c>
      <c r="C47" s="20" t="s">
        <v>144</v>
      </c>
      <c r="D47" s="5"/>
      <c r="E47" s="5"/>
      <c r="F47" s="5"/>
      <c r="G47" s="5"/>
      <c r="H47" s="5"/>
      <c r="I47" s="5"/>
      <c r="J47" s="9" t="s">
        <v>214</v>
      </c>
      <c r="K47" s="10"/>
      <c r="L47" s="11">
        <f>SUM(L40:L46)</f>
        <v>5550</v>
      </c>
      <c r="M47" s="5"/>
      <c r="N47" s="5"/>
      <c r="O47" s="24"/>
      <c r="P47" s="5"/>
      <c r="Q47" s="5"/>
      <c r="R47" s="5"/>
      <c r="S47" s="5"/>
      <c r="T47" s="5"/>
      <c r="U47" s="5"/>
      <c r="V47" s="5"/>
      <c r="W47" s="5"/>
    </row>
    <row r="48" spans="1:23" ht="14.75" customHeight="1" thickBot="1" x14ac:dyDescent="0.5">
      <c r="A48" s="24"/>
      <c r="B48" s="27" t="s">
        <v>266</v>
      </c>
      <c r="C48" s="149"/>
      <c r="D48" s="5"/>
      <c r="E48" s="5"/>
      <c r="F48" s="5"/>
      <c r="G48" s="5"/>
      <c r="H48" s="5"/>
      <c r="I48" s="5"/>
      <c r="J48" s="9" t="s">
        <v>215</v>
      </c>
      <c r="K48" s="10"/>
      <c r="L48" s="11">
        <f>MAX(0,L35-L38-L39-L37)</f>
        <v>33986.36</v>
      </c>
      <c r="M48" s="5">
        <f>IF(C35=1,Q33,IF(C35=2,Q34,IF(C35=3,Q35,IF(C35&lt;1,0,Q35+4500*(C35-3)))))</f>
        <v>0</v>
      </c>
      <c r="N48" s="5"/>
      <c r="O48" s="24"/>
      <c r="P48" s="5"/>
      <c r="Q48" s="5"/>
      <c r="R48" s="5"/>
      <c r="S48" s="5"/>
      <c r="T48" s="5"/>
      <c r="U48" s="5"/>
      <c r="V48" s="5"/>
      <c r="W48" s="5"/>
    </row>
    <row r="49" spans="1:23" ht="14.75" customHeight="1" thickBot="1" x14ac:dyDescent="0.5">
      <c r="A49" s="24"/>
      <c r="B49" s="30" t="s">
        <v>199</v>
      </c>
      <c r="C49" s="141"/>
      <c r="D49" s="5"/>
      <c r="E49" s="5"/>
      <c r="F49" s="5"/>
      <c r="G49" s="5"/>
      <c r="H49" s="5"/>
      <c r="I49" s="5"/>
      <c r="J49" s="9" t="s">
        <v>216</v>
      </c>
      <c r="K49" s="10"/>
      <c r="L49" s="11">
        <f>IF(L47&gt;12450,0,MAX(0,MIN(12450,L48)-L47))</f>
        <v>6900</v>
      </c>
      <c r="M49" s="5"/>
      <c r="N49" s="5"/>
      <c r="O49" s="24"/>
      <c r="P49" s="5"/>
      <c r="Q49" s="5"/>
      <c r="R49" s="5"/>
      <c r="S49" s="5"/>
      <c r="T49" s="5"/>
      <c r="U49" s="5"/>
      <c r="V49" s="5"/>
      <c r="W49" s="5"/>
    </row>
    <row r="50" spans="1:23" ht="14.75" customHeight="1" thickBot="1" x14ac:dyDescent="0.5">
      <c r="A50" s="24"/>
      <c r="B50" s="30" t="s">
        <v>200</v>
      </c>
      <c r="C50" s="141"/>
      <c r="D50" s="5"/>
      <c r="E50" s="5"/>
      <c r="F50" s="5"/>
      <c r="G50" s="5"/>
      <c r="H50" s="5"/>
      <c r="I50" s="5"/>
      <c r="J50" s="9" t="s">
        <v>217</v>
      </c>
      <c r="K50" s="10"/>
      <c r="L50" s="11">
        <f>IF(IF(L47&gt;20200,0,IF(L48&gt;20200,MIN(20200-L47,20200-12450),MIN(L48-L47,L48-12450)))&lt;0,0,IF(L47&gt;20200,0,IF(L48&gt;20200,MIN(20200-L47,20200-12450),MIN(L48-L47,L48-12450))))</f>
        <v>7750</v>
      </c>
      <c r="M50" s="5">
        <f>C40*12000+C41*6000+C44*3000</f>
        <v>0</v>
      </c>
      <c r="N50" s="5"/>
      <c r="O50" s="24"/>
      <c r="P50" s="5"/>
      <c r="Q50" s="5"/>
      <c r="R50" s="5"/>
      <c r="S50" s="5"/>
      <c r="T50" s="5"/>
      <c r="U50" s="5"/>
      <c r="V50" s="5"/>
      <c r="W50" s="5"/>
    </row>
    <row r="51" spans="1:23" ht="14.75" customHeight="1" thickBot="1" x14ac:dyDescent="0.5">
      <c r="A51" s="24"/>
      <c r="B51" s="30" t="s">
        <v>207</v>
      </c>
      <c r="C51" s="20"/>
      <c r="D51" s="5"/>
      <c r="E51" s="5"/>
      <c r="F51" s="5"/>
      <c r="G51" s="5"/>
      <c r="H51" s="5"/>
      <c r="I51" s="5"/>
      <c r="J51" s="9" t="s">
        <v>218</v>
      </c>
      <c r="K51" s="10"/>
      <c r="L51" s="11">
        <f>IF(IF(L47&gt;35200,0,IF(L48&gt;35200,MIN(35200-L47,35200-20200),MIN(L48-L47,L48-20200)))&lt;0,0,IF(L47&gt;35200,0,IF(L48&gt;35200,MIN(35200-L47,35200-20200),MIN(L48-L47,L48-20200))))</f>
        <v>13786.36</v>
      </c>
      <c r="M51" s="5"/>
      <c r="N51" s="5"/>
      <c r="O51" s="24"/>
      <c r="P51" s="5"/>
      <c r="Q51" s="5"/>
      <c r="R51" s="5"/>
      <c r="S51" s="5"/>
      <c r="T51" s="5"/>
      <c r="U51" s="5"/>
      <c r="V51" s="5"/>
      <c r="W51" s="5"/>
    </row>
    <row r="52" spans="1:23" ht="14.75" customHeight="1" thickBot="1" x14ac:dyDescent="0.5">
      <c r="A52" s="5"/>
      <c r="B52" s="31" t="s">
        <v>201</v>
      </c>
      <c r="C52" s="141"/>
      <c r="D52" s="5"/>
      <c r="E52" s="5"/>
      <c r="F52" s="5"/>
      <c r="G52" s="5"/>
      <c r="H52" s="5"/>
      <c r="I52" s="5"/>
      <c r="J52" s="9" t="s">
        <v>219</v>
      </c>
      <c r="K52" s="10"/>
      <c r="L52" s="11">
        <f>IF(IF(L47&gt;60000,0,IF(L48&gt;60000,MIN(35200-L47,60000-35200),MIN(L48-L47,L48-35200)))&lt;0,0,IF(L47&gt;60000,0,IF(L48&gt;60000,MIN(35200-L47,60000-35200),MIN(L48-L47,L48-35200))))</f>
        <v>0</v>
      </c>
      <c r="M52" s="5"/>
      <c r="N52" s="5"/>
      <c r="O52" s="24"/>
      <c r="P52" s="5"/>
      <c r="Q52" s="5"/>
      <c r="R52" s="5"/>
      <c r="S52" s="5"/>
      <c r="T52" s="5"/>
      <c r="U52" s="5"/>
      <c r="V52" s="5"/>
      <c r="W52" s="5"/>
    </row>
    <row r="53" spans="1:23" ht="14.75" customHeight="1" thickBot="1" x14ac:dyDescent="0.5">
      <c r="A53" s="5"/>
      <c r="B53" s="27" t="s">
        <v>267</v>
      </c>
      <c r="C53" s="149"/>
      <c r="H53" s="5"/>
      <c r="I53" s="5"/>
      <c r="J53" s="9" t="s">
        <v>220</v>
      </c>
      <c r="K53" s="10"/>
      <c r="L53" s="11">
        <f>IF(IF(L47&gt;30000,0,IF(L48&gt;300000,MIN(60000-L47,300000-60000),MIN(L48-L47,L48-60000)))&lt;0,0,IF(L47&gt;30000,0,IF(L48&gt;300000,MIN(60000-L47,300000-60000),MIN(L48-L47,L48-60000))))</f>
        <v>0</v>
      </c>
      <c r="M53" s="5"/>
      <c r="N53" s="5"/>
      <c r="O53" s="24"/>
      <c r="P53" s="5"/>
      <c r="Q53" s="5"/>
      <c r="R53" s="5"/>
      <c r="S53" s="5"/>
      <c r="T53" s="5"/>
      <c r="U53" s="5"/>
      <c r="V53" s="5"/>
      <c r="W53" s="5"/>
    </row>
    <row r="54" spans="1:23" ht="14.75" customHeight="1" thickBot="1" x14ac:dyDescent="0.5">
      <c r="A54" s="5"/>
      <c r="B54" s="30" t="s">
        <v>199</v>
      </c>
      <c r="C54" s="141"/>
      <c r="H54" s="5"/>
      <c r="I54" s="5"/>
      <c r="J54" s="9" t="s">
        <v>221</v>
      </c>
      <c r="K54" s="10"/>
      <c r="L54" s="11">
        <f>ROUND(L49*0.19,2)</f>
        <v>1311</v>
      </c>
      <c r="M54" s="5"/>
      <c r="N54" s="5"/>
      <c r="O54" s="24"/>
      <c r="P54" s="5"/>
      <c r="Q54" s="5"/>
      <c r="R54" s="5"/>
      <c r="S54" s="5"/>
      <c r="T54" s="5"/>
      <c r="U54" s="5"/>
      <c r="V54" s="5"/>
      <c r="W54" s="5"/>
    </row>
    <row r="55" spans="1:23" ht="14.75" customHeight="1" thickBot="1" x14ac:dyDescent="0.5">
      <c r="A55" s="5"/>
      <c r="B55" s="30" t="s">
        <v>200</v>
      </c>
      <c r="C55" s="141"/>
      <c r="G55" s="5"/>
      <c r="H55" s="5"/>
      <c r="I55" s="5"/>
      <c r="J55" s="9" t="s">
        <v>222</v>
      </c>
      <c r="K55" s="10"/>
      <c r="L55" s="11">
        <f>ROUND(L50*0.24,2)</f>
        <v>1860</v>
      </c>
      <c r="M55" s="5"/>
      <c r="N55" s="5"/>
      <c r="P55" s="5"/>
      <c r="Q55" s="5"/>
      <c r="R55" s="5"/>
      <c r="S55" s="5"/>
      <c r="T55" s="5"/>
      <c r="U55" s="5"/>
      <c r="V55" s="5"/>
      <c r="W55" s="5"/>
    </row>
    <row r="56" spans="1:23" ht="14.75" customHeight="1" thickBot="1" x14ac:dyDescent="0.5">
      <c r="A56" s="5"/>
      <c r="B56" s="30" t="s">
        <v>207</v>
      </c>
      <c r="C56" s="20"/>
      <c r="G56" s="5"/>
      <c r="H56" s="5"/>
      <c r="I56" s="5"/>
      <c r="J56" s="9" t="s">
        <v>223</v>
      </c>
      <c r="K56" s="10"/>
      <c r="L56" s="11">
        <f>ROUND(L51*0.3,2)</f>
        <v>4135.91</v>
      </c>
      <c r="M56" s="5"/>
      <c r="N56" s="5"/>
      <c r="P56" s="5"/>
      <c r="Q56" s="5"/>
      <c r="R56" s="5"/>
      <c r="S56" s="5"/>
      <c r="T56" s="5"/>
      <c r="U56" s="5"/>
      <c r="V56" s="5"/>
      <c r="W56" s="5"/>
    </row>
    <row r="57" spans="1:23" ht="14.75" customHeight="1" thickBot="1" x14ac:dyDescent="0.5">
      <c r="A57" s="5"/>
      <c r="B57" s="31" t="s">
        <v>201</v>
      </c>
      <c r="C57" s="141"/>
      <c r="G57" s="5"/>
      <c r="H57" s="5"/>
      <c r="I57" s="5"/>
      <c r="J57" s="9" t="s">
        <v>224</v>
      </c>
      <c r="K57" s="10"/>
      <c r="L57" s="11">
        <f>ROUND(L52*0.37,2)</f>
        <v>0</v>
      </c>
      <c r="P57" s="5"/>
      <c r="Q57" s="5"/>
      <c r="R57" s="5"/>
      <c r="S57" s="5"/>
      <c r="T57" s="5"/>
      <c r="U57" s="5"/>
      <c r="V57" s="5"/>
      <c r="W57" s="5"/>
    </row>
    <row r="58" spans="1:23" ht="14.65" thickBot="1" x14ac:dyDescent="0.5">
      <c r="A58" s="5"/>
      <c r="B58" s="27" t="s">
        <v>268</v>
      </c>
      <c r="C58" s="149"/>
      <c r="G58" s="5"/>
      <c r="H58" s="5"/>
      <c r="I58" s="5"/>
      <c r="J58" s="9" t="s">
        <v>225</v>
      </c>
      <c r="K58" s="10"/>
      <c r="L58" s="11">
        <f>ROUND(L53*0.45,2)</f>
        <v>0</v>
      </c>
      <c r="P58" s="5"/>
      <c r="Q58" s="5"/>
      <c r="R58" s="5"/>
      <c r="S58" s="5"/>
      <c r="T58" s="5"/>
      <c r="U58" s="5"/>
      <c r="V58" s="5"/>
      <c r="W58" s="5"/>
    </row>
    <row r="59" spans="1:23" ht="14.65" thickBot="1" x14ac:dyDescent="0.5">
      <c r="A59" s="5"/>
      <c r="B59" s="30" t="s">
        <v>199</v>
      </c>
      <c r="C59" s="141"/>
      <c r="G59" s="5"/>
      <c r="H59" s="5"/>
      <c r="I59" s="5"/>
      <c r="J59" s="9" t="s">
        <v>272</v>
      </c>
      <c r="K59" s="10"/>
      <c r="L59" s="56">
        <f>SUM(L54:L58)</f>
        <v>7306.91</v>
      </c>
      <c r="P59" s="5"/>
      <c r="Q59" s="5"/>
      <c r="R59" s="5"/>
      <c r="S59" s="5"/>
      <c r="T59" s="5"/>
      <c r="U59" s="5"/>
      <c r="V59" s="5"/>
      <c r="W59" s="5"/>
    </row>
    <row r="60" spans="1:23" ht="14.65" thickBot="1" x14ac:dyDescent="0.5">
      <c r="A60" s="5"/>
      <c r="B60" s="30" t="s">
        <v>200</v>
      </c>
      <c r="C60" s="141"/>
      <c r="G60" s="5"/>
      <c r="H60" s="5"/>
      <c r="I60" s="5"/>
      <c r="J60" s="9" t="s">
        <v>270</v>
      </c>
      <c r="K60" s="10"/>
      <c r="L60" s="56">
        <f>MAX(0,C129-L36)</f>
        <v>7306.9079999999994</v>
      </c>
      <c r="P60" s="5"/>
      <c r="Q60" s="5"/>
      <c r="R60" s="5"/>
      <c r="S60" s="5"/>
      <c r="T60" s="5"/>
      <c r="U60" s="5"/>
      <c r="V60" s="5"/>
      <c r="W60" s="5"/>
    </row>
    <row r="61" spans="1:23" ht="14.65" thickBot="1" x14ac:dyDescent="0.5">
      <c r="A61" s="5"/>
      <c r="B61" s="32" t="s">
        <v>207</v>
      </c>
      <c r="C61" s="20"/>
      <c r="G61" s="5"/>
      <c r="H61" s="5"/>
      <c r="I61" s="5"/>
      <c r="J61" s="91" t="s">
        <v>226</v>
      </c>
      <c r="K61" s="92"/>
      <c r="L61" s="93">
        <f>IF(M61&lt;0.02,0.02,M61)</f>
        <v>0.18879982057719161</v>
      </c>
      <c r="M61" s="5">
        <f>IF(L60&lt;L59,L60/L35,L59/L35)</f>
        <v>0.18879982057719161</v>
      </c>
    </row>
    <row r="62" spans="1:23" ht="14.65" thickBot="1" x14ac:dyDescent="0.5">
      <c r="A62" s="5"/>
      <c r="B62" s="31" t="s">
        <v>201</v>
      </c>
      <c r="C62" s="141"/>
      <c r="G62" s="5"/>
      <c r="H62" s="5"/>
      <c r="I62" s="5"/>
    </row>
    <row r="63" spans="1:23" ht="14.65" thickBot="1" x14ac:dyDescent="0.5">
      <c r="A63" s="5"/>
      <c r="B63" s="27" t="s">
        <v>269</v>
      </c>
      <c r="C63" s="149"/>
      <c r="G63" s="5"/>
      <c r="H63" s="5"/>
      <c r="I63" s="5"/>
      <c r="J63" s="85" t="s">
        <v>228</v>
      </c>
      <c r="K63" s="88"/>
      <c r="L63" s="89"/>
    </row>
    <row r="64" spans="1:23" ht="14.65" thickBot="1" x14ac:dyDescent="0.5">
      <c r="A64" s="5"/>
      <c r="B64" s="30" t="s">
        <v>199</v>
      </c>
      <c r="C64" s="141"/>
      <c r="G64" s="5"/>
      <c r="H64" s="5"/>
      <c r="I64" s="5"/>
      <c r="J64" s="9" t="s">
        <v>230</v>
      </c>
      <c r="K64" s="7"/>
      <c r="L64" s="82">
        <v>4.7E-2</v>
      </c>
    </row>
    <row r="65" spans="1:12" ht="14.65" thickBot="1" x14ac:dyDescent="0.5">
      <c r="A65" s="5"/>
      <c r="B65" s="30" t="s">
        <v>200</v>
      </c>
      <c r="C65" s="141"/>
      <c r="G65" s="5"/>
      <c r="H65" s="5"/>
      <c r="I65" s="5"/>
      <c r="J65" s="9" t="s">
        <v>231</v>
      </c>
      <c r="K65" s="7"/>
      <c r="L65" s="82">
        <v>1.1999999999999999E-3</v>
      </c>
    </row>
    <row r="66" spans="1:12" ht="14.65" thickBot="1" x14ac:dyDescent="0.5">
      <c r="A66" s="5"/>
      <c r="B66" s="32" t="s">
        <v>207</v>
      </c>
      <c r="C66" s="20"/>
      <c r="G66" s="5"/>
      <c r="H66" s="5"/>
      <c r="I66" s="5"/>
      <c r="J66" s="9" t="s">
        <v>236</v>
      </c>
      <c r="K66" s="7"/>
      <c r="L66" s="82">
        <v>0.28299999999999997</v>
      </c>
    </row>
    <row r="67" spans="1:12" ht="14.65" thickBot="1" x14ac:dyDescent="0.5">
      <c r="A67" s="5"/>
      <c r="B67" s="32" t="s">
        <v>201</v>
      </c>
      <c r="C67" s="141"/>
      <c r="G67" s="5"/>
      <c r="H67" s="5"/>
      <c r="I67" s="5"/>
      <c r="J67" s="9" t="s">
        <v>235</v>
      </c>
      <c r="K67" s="7"/>
      <c r="L67" s="46">
        <v>1.0999999999999999E-2</v>
      </c>
    </row>
    <row r="68" spans="1:12" ht="14.65" thickBot="1" x14ac:dyDescent="0.5">
      <c r="A68" s="35" t="s">
        <v>246</v>
      </c>
      <c r="B68" s="28" t="s">
        <v>243</v>
      </c>
      <c r="C68" s="80">
        <f>IF(B69=A68,1,IF(B69=A69,2,IF(B69=A70,3,0)))</f>
        <v>3</v>
      </c>
      <c r="G68" s="5"/>
      <c r="H68" s="5"/>
      <c r="I68" s="5"/>
      <c r="J68" s="91" t="s">
        <v>234</v>
      </c>
      <c r="K68" s="92"/>
      <c r="L68" s="94">
        <f>L64+L65-(L66*L67)</f>
        <v>4.5087000000000002E-2</v>
      </c>
    </row>
    <row r="69" spans="1:12" ht="42" customHeight="1" thickBot="1" x14ac:dyDescent="0.5">
      <c r="A69" s="35" t="s">
        <v>244</v>
      </c>
      <c r="B69" s="156" t="s">
        <v>245</v>
      </c>
      <c r="C69" s="157"/>
      <c r="G69" s="5"/>
      <c r="H69" s="5"/>
      <c r="I69" s="5"/>
    </row>
    <row r="70" spans="1:12" x14ac:dyDescent="0.45">
      <c r="A70" s="35" t="s">
        <v>245</v>
      </c>
      <c r="B70" s="5" t="s">
        <v>203</v>
      </c>
      <c r="C70" s="5">
        <f>IF(C49&gt;=75,ROUND((1150+1400)/C52,2),IF(C49&gt;=65,ROUND(1150/C52,2),0))</f>
        <v>0</v>
      </c>
      <c r="G70" s="5"/>
      <c r="H70" s="5"/>
      <c r="I70" s="5"/>
      <c r="J70" s="85" t="s">
        <v>229</v>
      </c>
      <c r="K70" s="88"/>
      <c r="L70" s="89"/>
    </row>
    <row r="71" spans="1:12" x14ac:dyDescent="0.45">
      <c r="A71" s="5"/>
      <c r="B71" s="5" t="s">
        <v>204</v>
      </c>
      <c r="C71" s="5">
        <f>IF(C54&gt;=75,ROUND((1150+1400)/C57,2),IF(C54&gt;=65,ROUND(1150/C57,2),0))</f>
        <v>0</v>
      </c>
      <c r="D71" s="5"/>
      <c r="E71" s="5"/>
      <c r="F71" s="5"/>
      <c r="G71" s="5"/>
      <c r="H71" s="5"/>
      <c r="I71" s="5"/>
      <c r="J71" s="9" t="s">
        <v>230</v>
      </c>
      <c r="K71" s="7"/>
      <c r="L71" s="82">
        <v>4.7E-2</v>
      </c>
    </row>
    <row r="72" spans="1:12" x14ac:dyDescent="0.45">
      <c r="A72" s="5"/>
      <c r="B72" s="5" t="s">
        <v>205</v>
      </c>
      <c r="C72" s="5">
        <f>IF(C59&gt;=75,ROUND((1150+1400)/C62,2),IF(C59&gt;=65,ROUND(1150/C62,2),0))</f>
        <v>0</v>
      </c>
      <c r="D72" s="5"/>
      <c r="E72" s="5"/>
      <c r="F72" s="5"/>
      <c r="G72" s="5"/>
      <c r="H72" s="5"/>
      <c r="I72" s="5"/>
      <c r="J72" s="9" t="s">
        <v>231</v>
      </c>
      <c r="K72" s="7"/>
      <c r="L72" s="82">
        <v>1.1999999999999999E-3</v>
      </c>
    </row>
    <row r="73" spans="1:12" x14ac:dyDescent="0.45">
      <c r="A73" s="5"/>
      <c r="B73" s="5" t="s">
        <v>206</v>
      </c>
      <c r="C73" s="5">
        <f>IF(C64&gt;=75,ROUND((1150+1400)/C67,2),IF(C64&gt;=65,ROUND(1150/C67,2),0))</f>
        <v>0</v>
      </c>
      <c r="D73" s="5"/>
      <c r="E73" s="5"/>
      <c r="F73" s="5"/>
      <c r="G73" s="5"/>
      <c r="H73" s="5"/>
      <c r="I73" s="5"/>
      <c r="J73" s="9" t="s">
        <v>232</v>
      </c>
      <c r="K73" s="7"/>
      <c r="L73" s="82">
        <v>1.55E-2</v>
      </c>
    </row>
    <row r="74" spans="1:12" x14ac:dyDescent="0.45">
      <c r="A74" s="25"/>
      <c r="B74" s="5" t="s">
        <v>208</v>
      </c>
      <c r="C74" s="5">
        <f>IF(C49&lt;65,0,IF(C50=A40,ROUND(12000/C52,2),IF(AND(C50=A41,C51="No"),ROUND(3000/C52,2),IF(AND(C50=A41,C51="Sí"),ROUND(6000/C52,2),""))))</f>
        <v>0</v>
      </c>
      <c r="D74" s="5"/>
      <c r="E74" s="5"/>
      <c r="F74" s="5"/>
      <c r="G74" s="5"/>
      <c r="H74" s="5"/>
      <c r="I74" s="5"/>
      <c r="J74" s="9" t="s">
        <v>233</v>
      </c>
      <c r="K74" s="7"/>
      <c r="L74" s="82">
        <v>1E-3</v>
      </c>
    </row>
    <row r="75" spans="1:12" ht="14.65" thickBot="1" x14ac:dyDescent="0.5">
      <c r="A75" s="25"/>
      <c r="B75" s="5" t="s">
        <v>209</v>
      </c>
      <c r="C75" s="5">
        <f>IF(C54&lt;65,0,IF(C55=A40,ROUND(12000/C57,2),IF(AND(C55=A41,C56="No"),ROUND(3000/C57,2),IF(AND(C55=A41,C56="Sí"),ROUND(6000/C57,2),""))))</f>
        <v>0</v>
      </c>
      <c r="D75" s="5"/>
      <c r="E75" s="5"/>
      <c r="F75" s="5"/>
      <c r="G75" s="5"/>
      <c r="H75" s="5"/>
      <c r="I75" s="5"/>
      <c r="J75" s="91" t="s">
        <v>234</v>
      </c>
      <c r="K75" s="92"/>
      <c r="L75" s="93">
        <f>SUM(L71:L74)</f>
        <v>6.4700000000000008E-2</v>
      </c>
    </row>
    <row r="76" spans="1:12" x14ac:dyDescent="0.45">
      <c r="A76" s="25"/>
      <c r="B76" s="5" t="s">
        <v>210</v>
      </c>
      <c r="C76" s="5">
        <f>IF(C59&lt;65,0,IF(C60=A40,ROUND(12000/C62,2),IF(AND(C60=A41,C61="No"),ROUND(3000/C62,2),IF(AND(C60=A41,C61="Sí"),ROUND(6000/C62,2),""))))</f>
        <v>0</v>
      </c>
      <c r="D76" s="5"/>
      <c r="E76" s="5"/>
      <c r="F76" s="5"/>
      <c r="G76" s="5"/>
      <c r="H76" s="5"/>
      <c r="I76" s="5"/>
    </row>
    <row r="77" spans="1:12" x14ac:dyDescent="0.45">
      <c r="A77" s="25"/>
      <c r="B77" s="5" t="s">
        <v>211</v>
      </c>
      <c r="C77" s="5">
        <f>IF(C64&lt;65,0,IF(C65=A40,ROUND(12000/C67,2),IF(AND(C65=A41,C66="No"),ROUND(3000/C67,2),IF(AND(C65=A41,C66="Sí"),ROUND(6000/C67,2),""))))</f>
        <v>0</v>
      </c>
      <c r="D77" s="5"/>
      <c r="E77" s="5"/>
      <c r="F77" s="5"/>
      <c r="G77" s="5"/>
      <c r="H77" s="5"/>
      <c r="I77" s="5"/>
    </row>
    <row r="78" spans="1:12" x14ac:dyDescent="0.45">
      <c r="A78" s="25"/>
      <c r="B78" s="5"/>
      <c r="C78" s="5"/>
      <c r="I78" s="5"/>
    </row>
    <row r="79" spans="1:12" x14ac:dyDescent="0.45">
      <c r="A79" s="25"/>
      <c r="B79" s="5" t="s">
        <v>248</v>
      </c>
      <c r="C79" s="5"/>
      <c r="I79" s="5"/>
    </row>
    <row r="80" spans="1:12" x14ac:dyDescent="0.45">
      <c r="A80" s="25"/>
      <c r="B80" s="5" t="s">
        <v>249</v>
      </c>
      <c r="C80" s="39">
        <f>L48-C34</f>
        <v>33986.36</v>
      </c>
      <c r="I80" s="5"/>
    </row>
    <row r="81" spans="1:9" x14ac:dyDescent="0.45">
      <c r="A81" s="25"/>
      <c r="B81" s="5" t="s">
        <v>250</v>
      </c>
      <c r="C81" s="39">
        <f>C34</f>
        <v>0</v>
      </c>
      <c r="I81" s="5"/>
    </row>
    <row r="82" spans="1:9" x14ac:dyDescent="0.45">
      <c r="A82" s="25"/>
      <c r="B82" s="5" t="s">
        <v>251</v>
      </c>
      <c r="C82" s="40">
        <f>MAX(B84:B89)</f>
        <v>8361.4079999999994</v>
      </c>
      <c r="I82" s="5"/>
    </row>
    <row r="83" spans="1:9" x14ac:dyDescent="0.45">
      <c r="A83" s="25"/>
      <c r="B83" s="5" t="s">
        <v>253</v>
      </c>
      <c r="C83" s="5"/>
      <c r="I83" s="5"/>
    </row>
    <row r="84" spans="1:9" x14ac:dyDescent="0.45">
      <c r="A84" s="25"/>
      <c r="B84" s="5" t="str">
        <f>IF(C80&lt;12450,0+(C80)*0.19,"")</f>
        <v/>
      </c>
      <c r="C84" s="5"/>
      <c r="I84" s="5"/>
    </row>
    <row r="85" spans="1:9" x14ac:dyDescent="0.45">
      <c r="A85" s="25"/>
      <c r="B85" s="5" t="str">
        <f>IF(AND(C80&gt;=12450,C80&lt;20200),2365.5+(C80-12450)*0.24,"")</f>
        <v/>
      </c>
      <c r="C85" s="5"/>
      <c r="I85" s="5"/>
    </row>
    <row r="86" spans="1:9" x14ac:dyDescent="0.45">
      <c r="A86" s="25"/>
      <c r="B86" s="5">
        <f>IF(AND(C80&gt;=20200,C80&lt;35200),4225.5+(C80-20200)*0.3,"")</f>
        <v>8361.4079999999994</v>
      </c>
      <c r="C86" s="5"/>
      <c r="I86" s="5"/>
    </row>
    <row r="87" spans="1:9" x14ac:dyDescent="0.45">
      <c r="A87" s="25"/>
      <c r="B87" s="5" t="str">
        <f>IF(AND(C80&gt;=35200,C80&lt;60000),8725.5+(C80-35200)*0.37,"")</f>
        <v/>
      </c>
      <c r="C87" s="5"/>
      <c r="I87" s="5"/>
    </row>
    <row r="88" spans="1:9" x14ac:dyDescent="0.45">
      <c r="A88" s="25"/>
      <c r="B88" s="5" t="str">
        <f>IF(AND(C80&gt;=60000,C80&lt;300000),17901.5+(C80-60000)*0.45,"")</f>
        <v/>
      </c>
      <c r="C88" s="5"/>
      <c r="I88" s="5"/>
    </row>
    <row r="89" spans="1:9" x14ac:dyDescent="0.45">
      <c r="A89" s="25"/>
      <c r="B89" s="5" t="str">
        <f>IF(C80&gt;300000,125901.5+(C80-300000)*0.47,"")</f>
        <v/>
      </c>
      <c r="C89" s="5"/>
      <c r="I89" s="5"/>
    </row>
    <row r="90" spans="1:9" x14ac:dyDescent="0.45">
      <c r="A90" s="25"/>
      <c r="B90" s="5" t="s">
        <v>252</v>
      </c>
      <c r="C90" s="40">
        <f>MAX(B91:B96)</f>
        <v>0</v>
      </c>
      <c r="I90" s="5"/>
    </row>
    <row r="91" spans="1:9" x14ac:dyDescent="0.45">
      <c r="A91" s="25"/>
      <c r="B91" s="5">
        <f>IF(C81&lt;12450,0+(C81)*0.19,"")</f>
        <v>0</v>
      </c>
      <c r="C91" s="5"/>
      <c r="I91" s="5"/>
    </row>
    <row r="92" spans="1:9" x14ac:dyDescent="0.45">
      <c r="A92" s="25"/>
      <c r="B92" s="5" t="str">
        <f>IF(AND(C81&gt;=12450,C81&lt;20200),2365.5+(C81-12450)*0.24,"")</f>
        <v/>
      </c>
      <c r="C92" s="5"/>
      <c r="I92" s="5"/>
    </row>
    <row r="93" spans="1:9" x14ac:dyDescent="0.45">
      <c r="A93" s="25"/>
      <c r="B93" s="5" t="str">
        <f>IF(AND(C81&gt;=20200,C81&lt;35200),4225.5+(C81-20200)*0.3,"")</f>
        <v/>
      </c>
      <c r="C93" s="5"/>
      <c r="I93" s="5"/>
    </row>
    <row r="94" spans="1:9" x14ac:dyDescent="0.45">
      <c r="A94" s="25"/>
      <c r="B94" s="5" t="str">
        <f>IF(AND(C81&gt;=35200,C81&lt;60000),8725.5+(C81-35200)*0.37,"")</f>
        <v/>
      </c>
      <c r="C94" s="5"/>
      <c r="I94" s="5"/>
    </row>
    <row r="95" spans="1:9" x14ac:dyDescent="0.45">
      <c r="A95" s="25"/>
      <c r="B95" s="5" t="str">
        <f>IF(AND(C81&gt;=60000,C81&lt;300000),17901.5+(C81-60000)*0.45,"")</f>
        <v/>
      </c>
      <c r="C95" s="5"/>
    </row>
    <row r="96" spans="1:9" x14ac:dyDescent="0.45">
      <c r="B96" s="5" t="str">
        <f>IF(C81&gt;300000,125901.5+(C81-300000)*0.47,"")</f>
        <v/>
      </c>
      <c r="C96" s="5"/>
    </row>
    <row r="97" spans="2:3" x14ac:dyDescent="0.45">
      <c r="B97" s="5" t="s">
        <v>254</v>
      </c>
      <c r="C97" s="39">
        <f>IF(AND(C34&gt;0,L48-C34&gt;0),C90+C82,C107)</f>
        <v>8361.4079999999994</v>
      </c>
    </row>
    <row r="98" spans="2:3" x14ac:dyDescent="0.45">
      <c r="B98" s="5" t="s">
        <v>255</v>
      </c>
      <c r="C98" s="40">
        <f>IF(AND(C34&gt;0,L48-C34&gt;0),L47+1980,L47)</f>
        <v>5550</v>
      </c>
    </row>
    <row r="99" spans="2:3" x14ac:dyDescent="0.45">
      <c r="B99" s="5" t="s">
        <v>256</v>
      </c>
      <c r="C99" s="40">
        <f>MAX(B100:B105)</f>
        <v>1054.5</v>
      </c>
    </row>
    <row r="100" spans="2:3" x14ac:dyDescent="0.45">
      <c r="B100" s="5">
        <f>IF(C98&lt;12450,0+(C98)*0.19,"")</f>
        <v>1054.5</v>
      </c>
      <c r="C100" s="5"/>
    </row>
    <row r="101" spans="2:3" x14ac:dyDescent="0.45">
      <c r="B101" s="5" t="str">
        <f>IF(AND(C98&gt;=12450,C98&lt;20200),2365.5+(C98-12450)*0.24,"")</f>
        <v/>
      </c>
      <c r="C101" s="5"/>
    </row>
    <row r="102" spans="2:3" x14ac:dyDescent="0.45">
      <c r="B102" s="5" t="str">
        <f>IF(AND(C98&gt;=20200,C98&lt;35200),4225.5+(C98-20200)*0.3,"")</f>
        <v/>
      </c>
      <c r="C102" s="5"/>
    </row>
    <row r="103" spans="2:3" x14ac:dyDescent="0.45">
      <c r="B103" s="5" t="str">
        <f>IF(AND(C98&gt;=35200,C98&lt;60000),8725.5+(C98-35200)*0.37,"")</f>
        <v/>
      </c>
      <c r="C103" s="5"/>
    </row>
    <row r="104" spans="2:3" x14ac:dyDescent="0.45">
      <c r="B104" s="5" t="str">
        <f>IF(AND(C98&gt;=60000,C98&lt;300000),17901.5+(C98-60000)*0.45,"")</f>
        <v/>
      </c>
      <c r="C104" s="5"/>
    </row>
    <row r="105" spans="2:3" x14ac:dyDescent="0.45">
      <c r="B105" s="5" t="str">
        <f>IF(C98&gt;300000,125901.5+(C98-300000)*0.47,"")</f>
        <v/>
      </c>
      <c r="C105" s="5"/>
    </row>
    <row r="106" spans="2:3" x14ac:dyDescent="0.45">
      <c r="B106" s="5" t="s">
        <v>257</v>
      </c>
      <c r="C106" s="41">
        <f>IF(C97&gt;C99,C97-C99,L59)</f>
        <v>7306.9079999999994</v>
      </c>
    </row>
    <row r="107" spans="2:3" x14ac:dyDescent="0.45">
      <c r="B107" s="5" t="s">
        <v>258</v>
      </c>
      <c r="C107" s="40">
        <f>MAX(B108:B114)</f>
        <v>8361.4079999999994</v>
      </c>
    </row>
    <row r="108" spans="2:3" x14ac:dyDescent="0.45">
      <c r="B108" s="5" t="str">
        <f>IF(L48&lt;12450,0+(L48)*0.19,"")</f>
        <v/>
      </c>
      <c r="C108" s="5"/>
    </row>
    <row r="109" spans="2:3" x14ac:dyDescent="0.45">
      <c r="B109" s="5" t="str">
        <f>IF(AND(L48&gt;=12450,L48&lt;20200),2365.5+(L48-12450)*0.24,"")</f>
        <v/>
      </c>
      <c r="C109" s="5"/>
    </row>
    <row r="110" spans="2:3" x14ac:dyDescent="0.45">
      <c r="B110" s="5">
        <f>IF(AND(L48&gt;=20200,L48&lt;35200),4225.5+(L48-20200)*0.3,"")</f>
        <v>8361.4079999999994</v>
      </c>
      <c r="C110" s="5"/>
    </row>
    <row r="111" spans="2:3" x14ac:dyDescent="0.45">
      <c r="B111" s="5" t="str">
        <f>IF(AND(L48&gt;=35200,L48&lt;60000),8725.5+(L48-35200)*0.37,"")</f>
        <v/>
      </c>
      <c r="C111" s="5"/>
    </row>
    <row r="112" spans="2:3" x14ac:dyDescent="0.45">
      <c r="B112" s="5" t="str">
        <f>IF(AND(L48&gt;=60000,L48&lt;300000),17901.5+(L48-60000)*0.45,"")</f>
        <v/>
      </c>
      <c r="C112" s="5"/>
    </row>
    <row r="113" spans="2:3" x14ac:dyDescent="0.45">
      <c r="B113" s="5" t="str">
        <f>IF(L48&gt;300000,125901.5+(L48-300000)*0.47,"")</f>
        <v/>
      </c>
      <c r="C113" s="5"/>
    </row>
    <row r="114" spans="2:3" x14ac:dyDescent="0.45">
      <c r="B114" s="5"/>
      <c r="C114" s="5"/>
    </row>
    <row r="115" spans="2:3" x14ac:dyDescent="0.45">
      <c r="B115" s="5"/>
      <c r="C115" s="5"/>
    </row>
    <row r="116" spans="2:3" x14ac:dyDescent="0.45">
      <c r="B116" s="5" t="s">
        <v>259</v>
      </c>
      <c r="C116" s="5"/>
    </row>
    <row r="117" spans="2:3" x14ac:dyDescent="0.45">
      <c r="B117" s="5" t="s">
        <v>261</v>
      </c>
      <c r="C117" s="5"/>
    </row>
    <row r="118" spans="2:3" x14ac:dyDescent="0.45">
      <c r="B118" s="5" t="s">
        <v>260</v>
      </c>
      <c r="C118" s="5"/>
    </row>
    <row r="119" spans="2:3" x14ac:dyDescent="0.45">
      <c r="B119" s="5">
        <f>IF(AND(L35&lt;=35200,C68=1,C35=1),(L35-(17270+C118+C119))*0.43,0)</f>
        <v>0</v>
      </c>
      <c r="C119" s="5"/>
    </row>
    <row r="120" spans="2:3" x14ac:dyDescent="0.45">
      <c r="B120" s="5">
        <f>IF(AND(L35&lt;=35200,C68=1,C35&gt;1),(L35-(18617+C118+C119))*0.43,0)</f>
        <v>0</v>
      </c>
      <c r="C120" s="5"/>
    </row>
    <row r="121" spans="2:3" x14ac:dyDescent="0.45">
      <c r="B121" s="5">
        <f>IF(AND(L35&lt;=35200,C68=2,C35=0),(L35-(16696+C118+C119))*0.43,0)</f>
        <v>0</v>
      </c>
      <c r="C121" s="5"/>
    </row>
    <row r="122" spans="2:3" x14ac:dyDescent="0.45">
      <c r="B122" s="5">
        <f>IF(AND(L35&lt;=35200,C68=2,C35=1),(L35-(17894+C118+C119))*0.43,0)</f>
        <v>0</v>
      </c>
      <c r="C122" s="5"/>
    </row>
    <row r="123" spans="2:3" x14ac:dyDescent="0.45">
      <c r="B123" s="5">
        <f>IF(AND(L35&lt;=35200,C68=2,C35&gt;1),(L35-(19241+C118+C119))*0.43,0)</f>
        <v>0</v>
      </c>
      <c r="C123" s="5"/>
    </row>
    <row r="124" spans="2:3" x14ac:dyDescent="0.45">
      <c r="B124" s="5">
        <f>IF(AND(L35&lt;=35200,C68=3,C35=0),(L35-(15000+C118+C119))*0.43,0)</f>
        <v>0</v>
      </c>
      <c r="C124" s="5"/>
    </row>
    <row r="125" spans="2:3" x14ac:dyDescent="0.45">
      <c r="B125" s="5">
        <f>IF(AND(L35&lt;=35200,C68=3,C35=1),(L35-(15599+C118+C119))*0.43,0)</f>
        <v>0</v>
      </c>
      <c r="C125" s="5"/>
    </row>
    <row r="126" spans="2:3" x14ac:dyDescent="0.45">
      <c r="B126" s="5">
        <f>IF(AND(L35&lt;=35200,C68=3,C35&gt;1),(L35-(16272+C118+C119))*0.43,0)</f>
        <v>0</v>
      </c>
      <c r="C126" s="5"/>
    </row>
    <row r="127" spans="2:3" x14ac:dyDescent="0.45">
      <c r="B127" s="5" t="s">
        <v>263</v>
      </c>
      <c r="C127" s="5" t="str">
        <f>IF(MAX(B119:B126)&gt;0,"Sí","No")</f>
        <v>No</v>
      </c>
    </row>
    <row r="128" spans="2:3" x14ac:dyDescent="0.45">
      <c r="B128" s="5" t="s">
        <v>264</v>
      </c>
      <c r="C128" s="5">
        <f>MAX(B119:B126)</f>
        <v>0</v>
      </c>
    </row>
    <row r="129" spans="2:3" x14ac:dyDescent="0.45">
      <c r="B129" s="5" t="s">
        <v>262</v>
      </c>
      <c r="C129" s="41">
        <f>IF(C127="No",C106,IF(C106&gt;C128,C128,C106))</f>
        <v>7306.9079999999994</v>
      </c>
    </row>
    <row r="130" spans="2:3" x14ac:dyDescent="0.45">
      <c r="B130" s="5"/>
      <c r="C130" s="5"/>
    </row>
    <row r="131" spans="2:3" x14ac:dyDescent="0.45">
      <c r="B131" s="5"/>
      <c r="C131" s="5"/>
    </row>
    <row r="132" spans="2:3" x14ac:dyDescent="0.45">
      <c r="B132" s="5"/>
      <c r="C132" s="5"/>
    </row>
    <row r="133" spans="2:3" x14ac:dyDescent="0.45">
      <c r="B133" s="5"/>
      <c r="C133" s="5"/>
    </row>
    <row r="134" spans="2:3" x14ac:dyDescent="0.45">
      <c r="B134" s="5"/>
      <c r="C134" s="5"/>
    </row>
    <row r="135" spans="2:3" x14ac:dyDescent="0.45">
      <c r="B135" s="5"/>
      <c r="C135" s="5"/>
    </row>
    <row r="136" spans="2:3" x14ac:dyDescent="0.45">
      <c r="B136" s="5"/>
      <c r="C136" s="5"/>
    </row>
    <row r="137" spans="2:3" x14ac:dyDescent="0.45">
      <c r="B137" s="5"/>
      <c r="C137" s="5"/>
    </row>
  </sheetData>
  <sheetProtection algorithmName="SHA-512" hashValue="ucwzccHpzLp2GSrX5n6Xm5yCKY7DRFtbxZLwLh2QVc7++K5EW+QfV8rlGvVJAFzFgoQNqZvDtd2C9LZqB1/OeQ==" saltValue="RG6eXNy44Juk05wsoDkWtw==" spinCount="100000" sheet="1" objects="1" scenarios="1"/>
  <mergeCells count="12">
    <mergeCell ref="M4:M5"/>
    <mergeCell ref="B28:C28"/>
    <mergeCell ref="B69:C69"/>
    <mergeCell ref="B3:C3"/>
    <mergeCell ref="J3:K3"/>
    <mergeCell ref="J4:K5"/>
    <mergeCell ref="L4:L5"/>
    <mergeCell ref="B31:C31"/>
    <mergeCell ref="B41:B43"/>
    <mergeCell ref="C41:C43"/>
    <mergeCell ref="B44:B46"/>
    <mergeCell ref="C44:C46"/>
  </mergeCells>
  <dataValidations count="18">
    <dataValidation type="list" allowBlank="1" showInputMessage="1" showErrorMessage="1" sqref="C11">
      <formula1>$D$5:$D$6</formula1>
    </dataValidation>
    <dataValidation type="whole" allowBlank="1" showInputMessage="1" showErrorMessage="1" sqref="C6:C10">
      <formula1>0</formula1>
      <formula2>14</formula2>
    </dataValidation>
    <dataValidation type="whole" allowBlank="1" showInputMessage="1" showErrorMessage="1" sqref="C12">
      <formula1>0</formula1>
      <formula2>5</formula2>
    </dataValidation>
    <dataValidation type="decimal" allowBlank="1" showInputMessage="1" showErrorMessage="1" sqref="C4:C5">
      <formula1>0</formula1>
      <formula2>100</formula2>
    </dataValidation>
    <dataValidation type="list" allowBlank="1" showInputMessage="1" showErrorMessage="1" sqref="C13">
      <formula1>$D$13:$D$20</formula1>
    </dataValidation>
    <dataValidation type="list" allowBlank="1" showInputMessage="1" showErrorMessage="1" sqref="C14">
      <formula1>$F$13:$F$18</formula1>
    </dataValidation>
    <dataValidation type="list" allowBlank="1" showInputMessage="1" showErrorMessage="1" sqref="C26 C47 C66 C61 C56 C51 C39 C37 C32 C15:C24">
      <formula1>$H$13:$H$14</formula1>
    </dataValidation>
    <dataValidation type="whole" allowBlank="1" showInputMessage="1" showErrorMessage="1" sqref="C25">
      <formula1>0</formula1>
      <formula2>30</formula2>
    </dataValidation>
    <dataValidation type="whole" allowBlank="1" showInputMessage="1" showErrorMessage="1" sqref="C27">
      <formula1>0</formula1>
      <formula2>10000</formula2>
    </dataValidation>
    <dataValidation type="whole" allowBlank="1" showInputMessage="1" showErrorMessage="1" sqref="C30">
      <formula1>1980</formula1>
      <formula2>2023</formula2>
    </dataValidation>
    <dataValidation type="list" allowBlank="1" showInputMessage="1" showErrorMessage="1" sqref="C29">
      <formula1>$A$35:$A$37</formula1>
    </dataValidation>
    <dataValidation type="whole" allowBlank="1" showInputMessage="1" showErrorMessage="1" sqref="C35">
      <formula1>0</formula1>
      <formula2>100</formula2>
    </dataValidation>
    <dataValidation type="whole" allowBlank="1" showInputMessage="1" showErrorMessage="1" sqref="C36 C40:C41">
      <formula1>0</formula1>
      <formula2>C35</formula2>
    </dataValidation>
    <dataValidation type="whole" allowBlank="1" showInputMessage="1" showErrorMessage="1" sqref="C49 C54 C59 C64">
      <formula1>18</formula1>
      <formula2>130</formula2>
    </dataValidation>
    <dataValidation type="whole" allowBlank="1" showInputMessage="1" showErrorMessage="1" sqref="C52 C57 C62 C67">
      <formula1>0</formula1>
      <formula2>20</formula2>
    </dataValidation>
    <dataValidation type="whole" allowBlank="1" showInputMessage="1" showErrorMessage="1" sqref="C44">
      <formula1>0</formula1>
      <formula2>C40</formula2>
    </dataValidation>
    <dataValidation type="list" allowBlank="1" showInputMessage="1" showErrorMessage="1" sqref="C38 C60 C50 C55 C65">
      <formula1>$A$38:$A$42</formula1>
    </dataValidation>
    <dataValidation type="list" allowBlank="1" showInputMessage="1" showErrorMessage="1" sqref="B69">
      <formula1>$A$68:$A$70</formula1>
    </dataValidation>
  </dataValidations>
  <hyperlinks>
    <hyperlink ref="B2" location="Inicio!A1" display="Ir a inicio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4"/>
  <sheetViews>
    <sheetView showRowColHeaders="0" zoomScale="110" zoomScaleNormal="60" workbookViewId="0">
      <selection activeCell="F1" sqref="F1"/>
    </sheetView>
  </sheetViews>
  <sheetFormatPr baseColWidth="10" defaultRowHeight="14.25" x14ac:dyDescent="0.45"/>
  <cols>
    <col min="1" max="1" width="3.6640625" style="2" customWidth="1"/>
    <col min="2" max="2" width="53.3984375" style="2" customWidth="1"/>
    <col min="3" max="3" width="21.59765625" style="2" customWidth="1"/>
    <col min="4" max="4" width="18.86328125" style="2" customWidth="1"/>
    <col min="5" max="5" width="28.796875" style="2" hidden="1" customWidth="1"/>
    <col min="6" max="6" width="33.86328125" style="2" customWidth="1"/>
    <col min="7" max="7" width="24.06640625" style="2" hidden="1" customWidth="1"/>
    <col min="8" max="8" width="9.46484375" style="2" hidden="1" customWidth="1"/>
    <col min="9" max="9" width="10.1328125" style="2" hidden="1" customWidth="1"/>
    <col min="10" max="10" width="10.3984375" style="2" hidden="1" customWidth="1"/>
    <col min="11" max="11" width="21.796875" style="2" hidden="1" customWidth="1"/>
    <col min="12" max="12" width="0.19921875" style="2" customWidth="1"/>
    <col min="13" max="13" width="36.1328125" style="2" hidden="1" customWidth="1"/>
    <col min="14" max="16384" width="10.6640625" style="2"/>
  </cols>
  <sheetData>
    <row r="1" spans="2:14" ht="25.15" customHeight="1" x14ac:dyDescent="0.45">
      <c r="F1" s="97" t="s">
        <v>293</v>
      </c>
      <c r="G1" s="97" t="s">
        <v>293</v>
      </c>
      <c r="J1" s="71"/>
      <c r="K1" s="71"/>
      <c r="L1" s="71"/>
      <c r="M1" s="71"/>
    </row>
    <row r="2" spans="2:14" ht="115.15" customHeight="1" x14ac:dyDescent="0.45">
      <c r="C2" s="174" t="s">
        <v>342</v>
      </c>
      <c r="D2" s="174"/>
      <c r="E2" s="174"/>
      <c r="F2" s="174"/>
      <c r="G2" s="174"/>
      <c r="J2" s="74"/>
      <c r="K2" s="74"/>
      <c r="L2" s="74"/>
      <c r="M2" s="74"/>
    </row>
    <row r="3" spans="2:14" x14ac:dyDescent="0.45">
      <c r="B3" s="73" t="s">
        <v>22</v>
      </c>
      <c r="C3" s="73" t="s">
        <v>290</v>
      </c>
      <c r="D3" s="73" t="s">
        <v>291</v>
      </c>
      <c r="E3" s="73" t="s">
        <v>320</v>
      </c>
      <c r="F3" s="73" t="s">
        <v>321</v>
      </c>
      <c r="G3" s="73" t="s">
        <v>323</v>
      </c>
      <c r="I3" s="2" t="s">
        <v>117</v>
      </c>
      <c r="J3" s="74" t="s">
        <v>17</v>
      </c>
      <c r="K3" s="74"/>
      <c r="L3" s="132"/>
      <c r="M3" s="73" t="s">
        <v>322</v>
      </c>
    </row>
    <row r="4" spans="2:14" x14ac:dyDescent="0.45">
      <c r="B4" s="72" t="s">
        <v>0</v>
      </c>
      <c r="C4" s="72" t="s">
        <v>3</v>
      </c>
      <c r="D4" s="72"/>
      <c r="E4" s="76">
        <f>ROUND(ROUND(H4/1.025,2)*1.03,2)</f>
        <v>1294.5999999999999</v>
      </c>
      <c r="F4" s="76">
        <f t="shared" ref="F4:F24" si="0">ROUND(E4*1.035/1.03,2)</f>
        <v>1300.8800000000001</v>
      </c>
      <c r="G4" s="76">
        <f>F4</f>
        <v>1300.8800000000001</v>
      </c>
      <c r="H4" s="2">
        <v>1288.31</v>
      </c>
      <c r="I4" s="2">
        <f t="shared" ref="I4:I35" si="1">ROUND(ROUND(ROUND(E4/1.03,2)*1.035,2)*1.025,2)</f>
        <v>1333.4</v>
      </c>
      <c r="J4" s="74"/>
      <c r="K4" s="74"/>
      <c r="L4" s="111">
        <f t="shared" ref="L4:L35" si="2">ROUND(ROUND(E4*1.035/1.03,2)*1.02,2)</f>
        <v>1326.9</v>
      </c>
      <c r="M4" s="111">
        <f t="shared" ref="M4:M35" si="3">ROUND(ROUND(E4*1.035/1.03,2)*1.025,2)</f>
        <v>1333.4</v>
      </c>
      <c r="N4" s="108"/>
    </row>
    <row r="5" spans="2:14" x14ac:dyDescent="0.45">
      <c r="B5" s="72" t="s">
        <v>12</v>
      </c>
      <c r="C5" s="72" t="s">
        <v>3</v>
      </c>
      <c r="D5" s="72"/>
      <c r="E5" s="76">
        <f>ROUND(ROUND(H5/1.025,2)*1.03,2)</f>
        <v>798.88</v>
      </c>
      <c r="F5" s="76">
        <f t="shared" si="0"/>
        <v>802.76</v>
      </c>
      <c r="G5" s="76">
        <f t="shared" ref="G5:G68" si="4">F5</f>
        <v>802.76</v>
      </c>
      <c r="H5" s="2">
        <v>795</v>
      </c>
      <c r="I5" s="2">
        <f t="shared" si="1"/>
        <v>822.83</v>
      </c>
      <c r="J5" s="74" t="s">
        <v>18</v>
      </c>
      <c r="K5" s="74"/>
      <c r="L5" s="111">
        <f t="shared" si="2"/>
        <v>818.82</v>
      </c>
      <c r="M5" s="111">
        <f t="shared" si="3"/>
        <v>822.83</v>
      </c>
    </row>
    <row r="6" spans="2:14" x14ac:dyDescent="0.45">
      <c r="B6" s="72" t="s">
        <v>0</v>
      </c>
      <c r="C6" s="72" t="s">
        <v>6</v>
      </c>
      <c r="D6" s="72"/>
      <c r="E6" s="76">
        <f>ROUND(ROUND(H6/1.025,2)*1.03,2)</f>
        <v>1119.4100000000001</v>
      </c>
      <c r="F6" s="76">
        <f>ROUND(E6*1.035/1.03,2)+0.01</f>
        <v>1124.8499999999999</v>
      </c>
      <c r="G6" s="76">
        <f t="shared" si="4"/>
        <v>1124.8499999999999</v>
      </c>
      <c r="H6" s="2">
        <v>1113.98</v>
      </c>
      <c r="I6" s="2">
        <f t="shared" si="1"/>
        <v>1152.97</v>
      </c>
      <c r="J6" s="74" t="s">
        <v>19</v>
      </c>
      <c r="K6" s="74"/>
      <c r="L6" s="111">
        <f t="shared" si="2"/>
        <v>1147.3399999999999</v>
      </c>
      <c r="M6" s="111">
        <f t="shared" si="3"/>
        <v>1152.96</v>
      </c>
    </row>
    <row r="7" spans="2:14" x14ac:dyDescent="0.45">
      <c r="B7" s="72" t="s">
        <v>12</v>
      </c>
      <c r="C7" s="72" t="s">
        <v>6</v>
      </c>
      <c r="D7" s="72"/>
      <c r="E7" s="76">
        <v>816.41</v>
      </c>
      <c r="F7" s="76">
        <f t="shared" si="0"/>
        <v>820.37</v>
      </c>
      <c r="G7" s="76">
        <f t="shared" si="4"/>
        <v>820.37</v>
      </c>
      <c r="H7" s="2">
        <v>812.45</v>
      </c>
      <c r="I7" s="2">
        <f t="shared" si="1"/>
        <v>840.88</v>
      </c>
      <c r="J7" s="74" t="s">
        <v>20</v>
      </c>
      <c r="K7" s="74"/>
      <c r="L7" s="111">
        <f t="shared" si="2"/>
        <v>836.78</v>
      </c>
      <c r="M7" s="111">
        <f t="shared" si="3"/>
        <v>840.88</v>
      </c>
    </row>
    <row r="8" spans="2:14" x14ac:dyDescent="0.45">
      <c r="B8" s="72" t="s">
        <v>1</v>
      </c>
      <c r="C8" s="72" t="s">
        <v>3</v>
      </c>
      <c r="D8" s="72" t="s">
        <v>5</v>
      </c>
      <c r="E8" s="76">
        <f>ROUND(ROUND(H8/1.025,2)*1.03,2)</f>
        <v>815.04</v>
      </c>
      <c r="F8" s="76">
        <f t="shared" si="0"/>
        <v>819</v>
      </c>
      <c r="G8" s="76">
        <f t="shared" si="4"/>
        <v>819</v>
      </c>
      <c r="H8" s="2">
        <v>811.08</v>
      </c>
      <c r="I8" s="2">
        <f t="shared" si="1"/>
        <v>839.48</v>
      </c>
      <c r="J8" s="74" t="s">
        <v>21</v>
      </c>
      <c r="K8" s="74"/>
      <c r="L8" s="111">
        <f t="shared" si="2"/>
        <v>835.38</v>
      </c>
      <c r="M8" s="111">
        <f t="shared" si="3"/>
        <v>839.48</v>
      </c>
    </row>
    <row r="9" spans="2:14" x14ac:dyDescent="0.45">
      <c r="B9" s="72" t="s">
        <v>1</v>
      </c>
      <c r="C9" s="72" t="s">
        <v>3</v>
      </c>
      <c r="D9" s="72" t="s">
        <v>4</v>
      </c>
      <c r="E9" s="76">
        <f>ROUND(ROUND(H9/1.025,2)*1.03,2)</f>
        <v>680.45</v>
      </c>
      <c r="F9" s="76">
        <f t="shared" si="0"/>
        <v>683.75</v>
      </c>
      <c r="G9" s="76">
        <f t="shared" si="4"/>
        <v>683.75</v>
      </c>
      <c r="H9" s="2">
        <v>677.15</v>
      </c>
      <c r="I9" s="2">
        <f t="shared" si="1"/>
        <v>700.84</v>
      </c>
      <c r="J9" s="74"/>
      <c r="K9" s="74"/>
      <c r="L9" s="111">
        <f t="shared" si="2"/>
        <v>697.43</v>
      </c>
      <c r="M9" s="111">
        <f t="shared" si="3"/>
        <v>700.84</v>
      </c>
    </row>
    <row r="10" spans="2:14" x14ac:dyDescent="0.45">
      <c r="B10" s="72" t="s">
        <v>1</v>
      </c>
      <c r="C10" s="72" t="s">
        <v>6</v>
      </c>
      <c r="D10" s="72" t="s">
        <v>91</v>
      </c>
      <c r="E10" s="76">
        <v>552.55999999999995</v>
      </c>
      <c r="F10" s="76">
        <f>ROUND(E10*1.035/1.03,2)+0.01</f>
        <v>555.25</v>
      </c>
      <c r="G10" s="76">
        <f t="shared" si="4"/>
        <v>555.25</v>
      </c>
      <c r="H10" s="2">
        <v>528.70000000000005</v>
      </c>
      <c r="I10" s="2">
        <f t="shared" si="1"/>
        <v>569.13</v>
      </c>
      <c r="J10" s="74"/>
      <c r="K10" s="74"/>
      <c r="L10" s="111">
        <f t="shared" si="2"/>
        <v>566.34</v>
      </c>
      <c r="M10" s="111">
        <f t="shared" si="3"/>
        <v>569.12</v>
      </c>
    </row>
    <row r="11" spans="2:14" x14ac:dyDescent="0.45">
      <c r="B11" s="72" t="s">
        <v>92</v>
      </c>
      <c r="C11" s="72" t="s">
        <v>3</v>
      </c>
      <c r="D11" s="72" t="s">
        <v>5</v>
      </c>
      <c r="E11" s="76">
        <v>938.04</v>
      </c>
      <c r="F11" s="76">
        <f>ROUND(E11*1.035/1.03,2)+0.01</f>
        <v>942.6</v>
      </c>
      <c r="G11" s="76">
        <f t="shared" si="4"/>
        <v>942.6</v>
      </c>
      <c r="I11" s="2">
        <f t="shared" si="1"/>
        <v>966.17</v>
      </c>
      <c r="J11" s="74"/>
      <c r="K11" s="74"/>
      <c r="L11" s="111">
        <f t="shared" si="2"/>
        <v>961.44</v>
      </c>
      <c r="M11" s="111">
        <f t="shared" si="3"/>
        <v>966.15</v>
      </c>
    </row>
    <row r="12" spans="2:14" x14ac:dyDescent="0.45">
      <c r="B12" s="72" t="s">
        <v>93</v>
      </c>
      <c r="C12" s="72" t="s">
        <v>3</v>
      </c>
      <c r="D12" s="72" t="s">
        <v>5</v>
      </c>
      <c r="E12" s="76">
        <v>905.3</v>
      </c>
      <c r="F12" s="76">
        <f>ROUND(E12*1.035/1.03,2)+0.01</f>
        <v>909.7</v>
      </c>
      <c r="G12" s="76">
        <f t="shared" si="4"/>
        <v>909.7</v>
      </c>
      <c r="H12" s="2">
        <v>900.91</v>
      </c>
      <c r="I12" s="2">
        <f t="shared" si="1"/>
        <v>932.43</v>
      </c>
      <c r="J12" s="74"/>
      <c r="K12" s="74"/>
      <c r="L12" s="111">
        <f t="shared" si="2"/>
        <v>927.88</v>
      </c>
      <c r="M12" s="111">
        <f t="shared" si="3"/>
        <v>932.43</v>
      </c>
    </row>
    <row r="13" spans="2:14" x14ac:dyDescent="0.45">
      <c r="B13" s="72" t="s">
        <v>2</v>
      </c>
      <c r="C13" s="72" t="s">
        <v>3</v>
      </c>
      <c r="D13" s="72" t="s">
        <v>4</v>
      </c>
      <c r="E13" s="76">
        <v>846.83</v>
      </c>
      <c r="F13" s="76">
        <f>ROUND(E13*1.035/1.03,2)+0.01</f>
        <v>850.95</v>
      </c>
      <c r="G13" s="76">
        <f t="shared" si="4"/>
        <v>850.95</v>
      </c>
      <c r="H13" s="2">
        <v>842.73</v>
      </c>
      <c r="I13" s="2">
        <f t="shared" si="1"/>
        <v>872.22</v>
      </c>
      <c r="J13" s="74"/>
      <c r="K13" s="74"/>
      <c r="L13" s="111">
        <f t="shared" si="2"/>
        <v>867.96</v>
      </c>
      <c r="M13" s="111">
        <f t="shared" si="3"/>
        <v>872.21</v>
      </c>
    </row>
    <row r="14" spans="2:14" x14ac:dyDescent="0.45">
      <c r="B14" s="72" t="s">
        <v>2</v>
      </c>
      <c r="C14" s="72" t="s">
        <v>6</v>
      </c>
      <c r="D14" s="72" t="s">
        <v>91</v>
      </c>
      <c r="E14" s="76">
        <f>ROUND(ROUND(H14/1.025,2)*1.03,2)</f>
        <v>846.85</v>
      </c>
      <c r="F14" s="76">
        <f>ROUND(E14*1.035/1.03,2)-0.01</f>
        <v>850.95</v>
      </c>
      <c r="G14" s="76">
        <f t="shared" si="4"/>
        <v>850.95</v>
      </c>
      <c r="H14" s="2">
        <v>842.73</v>
      </c>
      <c r="I14" s="2">
        <f t="shared" si="1"/>
        <v>872.23</v>
      </c>
      <c r="J14" s="74"/>
      <c r="K14" s="74"/>
      <c r="L14" s="111">
        <f t="shared" si="2"/>
        <v>867.98</v>
      </c>
      <c r="M14" s="111">
        <f t="shared" si="3"/>
        <v>872.23</v>
      </c>
    </row>
    <row r="15" spans="2:14" x14ac:dyDescent="0.45">
      <c r="B15" s="72" t="s">
        <v>13</v>
      </c>
      <c r="C15" s="72" t="s">
        <v>3</v>
      </c>
      <c r="D15" s="72"/>
      <c r="E15" s="76">
        <f t="shared" ref="E15:E30" si="5">ROUND(ROUND(H15/1.025,2)*1.03,2)</f>
        <v>49.83</v>
      </c>
      <c r="F15" s="76">
        <f t="shared" si="0"/>
        <v>50.07</v>
      </c>
      <c r="G15" s="76">
        <f t="shared" si="4"/>
        <v>50.07</v>
      </c>
      <c r="H15" s="2">
        <v>49.59</v>
      </c>
      <c r="I15" s="2">
        <f t="shared" si="1"/>
        <v>51.32</v>
      </c>
      <c r="J15" s="74"/>
      <c r="K15" s="74"/>
      <c r="L15" s="111">
        <f t="shared" si="2"/>
        <v>51.07</v>
      </c>
      <c r="M15" s="111">
        <f t="shared" si="3"/>
        <v>51.32</v>
      </c>
    </row>
    <row r="16" spans="2:14" x14ac:dyDescent="0.45">
      <c r="B16" s="72" t="s">
        <v>14</v>
      </c>
      <c r="C16" s="72" t="s">
        <v>3</v>
      </c>
      <c r="D16" s="72"/>
      <c r="E16" s="76">
        <v>30.76</v>
      </c>
      <c r="F16" s="76">
        <f t="shared" si="0"/>
        <v>30.91</v>
      </c>
      <c r="G16" s="76">
        <f t="shared" si="4"/>
        <v>30.91</v>
      </c>
      <c r="H16" s="2">
        <v>30.65</v>
      </c>
      <c r="I16" s="2">
        <f t="shared" si="1"/>
        <v>31.68</v>
      </c>
      <c r="J16" s="74"/>
      <c r="K16" s="74"/>
      <c r="L16" s="111">
        <f t="shared" si="2"/>
        <v>31.53</v>
      </c>
      <c r="M16" s="111">
        <f t="shared" si="3"/>
        <v>31.68</v>
      </c>
    </row>
    <row r="17" spans="2:13" x14ac:dyDescent="0.45">
      <c r="B17" s="72" t="s">
        <v>15</v>
      </c>
      <c r="C17" s="72" t="s">
        <v>6</v>
      </c>
      <c r="D17" s="72"/>
      <c r="E17" s="76">
        <f t="shared" si="5"/>
        <v>40.630000000000003</v>
      </c>
      <c r="F17" s="76">
        <f t="shared" si="0"/>
        <v>40.83</v>
      </c>
      <c r="G17" s="76">
        <f t="shared" si="4"/>
        <v>40.83</v>
      </c>
      <c r="H17" s="2">
        <v>40.44</v>
      </c>
      <c r="I17" s="2">
        <f t="shared" si="1"/>
        <v>41.85</v>
      </c>
      <c r="J17" s="74"/>
      <c r="K17" s="74"/>
      <c r="L17" s="111">
        <f t="shared" si="2"/>
        <v>41.65</v>
      </c>
      <c r="M17" s="111">
        <f t="shared" si="3"/>
        <v>41.85</v>
      </c>
    </row>
    <row r="18" spans="2:13" x14ac:dyDescent="0.45">
      <c r="B18" s="72" t="s">
        <v>16</v>
      </c>
      <c r="C18" s="72" t="s">
        <v>6</v>
      </c>
      <c r="D18" s="72"/>
      <c r="E18" s="76">
        <f t="shared" si="5"/>
        <v>29.62</v>
      </c>
      <c r="F18" s="76">
        <f>ROUND(E18*1.035/1.03,2)+0.01</f>
        <v>29.770000000000003</v>
      </c>
      <c r="G18" s="76">
        <f t="shared" si="4"/>
        <v>29.770000000000003</v>
      </c>
      <c r="H18" s="2">
        <v>29.48</v>
      </c>
      <c r="I18" s="2">
        <f t="shared" si="1"/>
        <v>30.51</v>
      </c>
      <c r="J18" s="74"/>
      <c r="K18" s="74"/>
      <c r="L18" s="111">
        <f t="shared" si="2"/>
        <v>30.36</v>
      </c>
      <c r="M18" s="111">
        <f t="shared" si="3"/>
        <v>30.5</v>
      </c>
    </row>
    <row r="19" spans="2:13" x14ac:dyDescent="0.45">
      <c r="B19" s="72" t="s">
        <v>85</v>
      </c>
      <c r="C19" s="72" t="s">
        <v>82</v>
      </c>
      <c r="D19" s="72"/>
      <c r="E19" s="76">
        <v>30.76</v>
      </c>
      <c r="F19" s="76">
        <f t="shared" si="0"/>
        <v>30.91</v>
      </c>
      <c r="G19" s="76">
        <f t="shared" si="4"/>
        <v>30.91</v>
      </c>
      <c r="I19" s="2">
        <f t="shared" si="1"/>
        <v>31.68</v>
      </c>
      <c r="J19" s="74"/>
      <c r="K19" s="74"/>
      <c r="L19" s="111">
        <f t="shared" si="2"/>
        <v>31.53</v>
      </c>
      <c r="M19" s="111">
        <f t="shared" si="3"/>
        <v>31.68</v>
      </c>
    </row>
    <row r="20" spans="2:13" x14ac:dyDescent="0.45">
      <c r="B20" s="72" t="s">
        <v>84</v>
      </c>
      <c r="C20" s="72" t="s">
        <v>82</v>
      </c>
      <c r="D20" s="72"/>
      <c r="E20" s="76">
        <v>26.55</v>
      </c>
      <c r="F20" s="76">
        <f t="shared" si="0"/>
        <v>26.68</v>
      </c>
      <c r="G20" s="76">
        <f t="shared" si="4"/>
        <v>26.68</v>
      </c>
      <c r="I20" s="2">
        <f t="shared" si="1"/>
        <v>27.35</v>
      </c>
      <c r="J20" s="74"/>
      <c r="K20" s="74"/>
      <c r="L20" s="111">
        <f t="shared" si="2"/>
        <v>27.21</v>
      </c>
      <c r="M20" s="111">
        <f t="shared" si="3"/>
        <v>27.35</v>
      </c>
    </row>
    <row r="21" spans="2:13" x14ac:dyDescent="0.45">
      <c r="B21" s="72" t="s">
        <v>87</v>
      </c>
      <c r="C21" s="72" t="s">
        <v>83</v>
      </c>
      <c r="D21" s="72"/>
      <c r="E21" s="76">
        <v>20.94</v>
      </c>
      <c r="F21" s="76">
        <f t="shared" si="0"/>
        <v>21.04</v>
      </c>
      <c r="G21" s="76">
        <f t="shared" si="4"/>
        <v>21.04</v>
      </c>
      <c r="I21" s="2">
        <f t="shared" si="1"/>
        <v>21.57</v>
      </c>
      <c r="J21" s="74"/>
      <c r="K21" s="74"/>
      <c r="L21" s="111">
        <f t="shared" si="2"/>
        <v>21.46</v>
      </c>
      <c r="M21" s="111">
        <f t="shared" si="3"/>
        <v>21.57</v>
      </c>
    </row>
    <row r="22" spans="2:13" x14ac:dyDescent="0.45">
      <c r="B22" s="72" t="s">
        <v>86</v>
      </c>
      <c r="C22" s="72" t="s">
        <v>83</v>
      </c>
      <c r="D22" s="72"/>
      <c r="E22" s="76">
        <v>20.72</v>
      </c>
      <c r="F22" s="76">
        <f t="shared" si="0"/>
        <v>20.82</v>
      </c>
      <c r="G22" s="76">
        <f t="shared" si="4"/>
        <v>20.82</v>
      </c>
      <c r="I22" s="2">
        <f t="shared" si="1"/>
        <v>21.34</v>
      </c>
      <c r="J22" s="74"/>
      <c r="K22" s="74"/>
      <c r="L22" s="111">
        <f t="shared" si="2"/>
        <v>21.24</v>
      </c>
      <c r="M22" s="111">
        <f t="shared" si="3"/>
        <v>21.34</v>
      </c>
    </row>
    <row r="23" spans="2:13" x14ac:dyDescent="0.45">
      <c r="B23" s="72" t="s">
        <v>88</v>
      </c>
      <c r="C23" s="72"/>
      <c r="D23" s="72" t="s">
        <v>89</v>
      </c>
      <c r="E23" s="76">
        <v>15.76</v>
      </c>
      <c r="F23" s="76">
        <f t="shared" si="0"/>
        <v>15.84</v>
      </c>
      <c r="G23" s="76">
        <f t="shared" si="4"/>
        <v>15.84</v>
      </c>
      <c r="I23" s="2">
        <f t="shared" si="1"/>
        <v>16.239999999999998</v>
      </c>
      <c r="J23" s="74"/>
      <c r="K23" s="74"/>
      <c r="L23" s="111">
        <f t="shared" si="2"/>
        <v>16.16</v>
      </c>
      <c r="M23" s="111">
        <f t="shared" si="3"/>
        <v>16.239999999999998</v>
      </c>
    </row>
    <row r="24" spans="2:13" x14ac:dyDescent="0.45">
      <c r="B24" s="72" t="s">
        <v>90</v>
      </c>
      <c r="C24" s="72"/>
      <c r="D24" s="72"/>
      <c r="E24" s="76">
        <v>15.76</v>
      </c>
      <c r="F24" s="76">
        <f t="shared" si="0"/>
        <v>15.84</v>
      </c>
      <c r="G24" s="76">
        <f t="shared" si="4"/>
        <v>15.84</v>
      </c>
      <c r="I24" s="2">
        <f t="shared" si="1"/>
        <v>16.239999999999998</v>
      </c>
      <c r="J24" s="74"/>
      <c r="K24" s="74"/>
      <c r="L24" s="111">
        <f t="shared" si="2"/>
        <v>16.16</v>
      </c>
      <c r="M24" s="111">
        <f t="shared" si="3"/>
        <v>16.239999999999998</v>
      </c>
    </row>
    <row r="25" spans="2:13" x14ac:dyDescent="0.45">
      <c r="B25" s="73" t="s">
        <v>112</v>
      </c>
      <c r="C25" s="75"/>
      <c r="D25" s="75"/>
      <c r="E25" s="75"/>
      <c r="F25" s="75"/>
      <c r="G25" s="76">
        <f t="shared" si="4"/>
        <v>0</v>
      </c>
      <c r="H25" s="109"/>
      <c r="I25" s="109">
        <f t="shared" si="1"/>
        <v>0</v>
      </c>
      <c r="J25" s="109"/>
      <c r="K25" s="109"/>
      <c r="L25" s="78">
        <f t="shared" si="2"/>
        <v>0</v>
      </c>
      <c r="M25" s="78">
        <f t="shared" si="3"/>
        <v>0</v>
      </c>
    </row>
    <row r="26" spans="2:13" x14ac:dyDescent="0.45">
      <c r="B26" s="72" t="s">
        <v>7</v>
      </c>
      <c r="E26" s="76">
        <f t="shared" si="5"/>
        <v>88.15</v>
      </c>
      <c r="F26" s="76">
        <f>ROUND(E26*1.035/1.03,2)</f>
        <v>88.58</v>
      </c>
      <c r="G26" s="76">
        <f t="shared" si="4"/>
        <v>88.58</v>
      </c>
      <c r="H26" s="2">
        <v>87.72</v>
      </c>
      <c r="I26" s="2">
        <f t="shared" si="1"/>
        <v>90.79</v>
      </c>
      <c r="J26" s="74">
        <f>I26</f>
        <v>90.79</v>
      </c>
      <c r="K26" s="74"/>
      <c r="L26" s="111">
        <f t="shared" si="2"/>
        <v>90.35</v>
      </c>
      <c r="M26" s="111">
        <f t="shared" si="3"/>
        <v>90.79</v>
      </c>
    </row>
    <row r="27" spans="2:13" x14ac:dyDescent="0.45">
      <c r="B27" s="72" t="s">
        <v>8</v>
      </c>
      <c r="E27" s="76">
        <f t="shared" si="5"/>
        <v>82.82</v>
      </c>
      <c r="F27" s="76">
        <f>ROUND(E27*1.035/1.03,2)</f>
        <v>83.22</v>
      </c>
      <c r="G27" s="76">
        <f t="shared" si="4"/>
        <v>83.22</v>
      </c>
      <c r="H27" s="2">
        <v>82.42</v>
      </c>
      <c r="I27" s="2">
        <f t="shared" si="1"/>
        <v>85.3</v>
      </c>
      <c r="J27" s="74">
        <f>J26+I27</f>
        <v>176.09</v>
      </c>
      <c r="K27" s="74"/>
      <c r="L27" s="111">
        <f t="shared" si="2"/>
        <v>84.88</v>
      </c>
      <c r="M27" s="111">
        <f t="shared" si="3"/>
        <v>85.3</v>
      </c>
    </row>
    <row r="28" spans="2:13" x14ac:dyDescent="0.45">
      <c r="B28" s="72" t="s">
        <v>9</v>
      </c>
      <c r="E28" s="76">
        <f t="shared" si="5"/>
        <v>110.36</v>
      </c>
      <c r="F28" s="76">
        <f>ROUND(E28*1.035/1.03,2)</f>
        <v>110.9</v>
      </c>
      <c r="G28" s="76">
        <f t="shared" si="4"/>
        <v>110.9</v>
      </c>
      <c r="H28" s="2">
        <v>109.83</v>
      </c>
      <c r="I28" s="2">
        <f t="shared" si="1"/>
        <v>113.67</v>
      </c>
      <c r="J28" s="74">
        <f t="shared" ref="J28:J30" si="6">J27+I28</f>
        <v>289.76</v>
      </c>
      <c r="K28" s="74"/>
      <c r="L28" s="111">
        <f t="shared" si="2"/>
        <v>113.12</v>
      </c>
      <c r="M28" s="111">
        <f t="shared" si="3"/>
        <v>113.67</v>
      </c>
    </row>
    <row r="29" spans="2:13" x14ac:dyDescent="0.45">
      <c r="B29" s="72" t="s">
        <v>10</v>
      </c>
      <c r="E29" s="76">
        <f t="shared" si="5"/>
        <v>151.02000000000001</v>
      </c>
      <c r="F29" s="76">
        <f>ROUND(E29*1.035/1.03,2)</f>
        <v>151.75</v>
      </c>
      <c r="G29" s="76">
        <f t="shared" si="4"/>
        <v>151.75</v>
      </c>
      <c r="H29" s="2">
        <v>150.29</v>
      </c>
      <c r="I29" s="2">
        <f t="shared" si="1"/>
        <v>155.54</v>
      </c>
      <c r="J29" s="74">
        <f t="shared" si="6"/>
        <v>445.29999999999995</v>
      </c>
      <c r="K29" s="74"/>
      <c r="L29" s="111">
        <f t="shared" si="2"/>
        <v>154.79</v>
      </c>
      <c r="M29" s="111">
        <f t="shared" si="3"/>
        <v>155.54</v>
      </c>
    </row>
    <row r="30" spans="2:13" x14ac:dyDescent="0.45">
      <c r="B30" s="72" t="s">
        <v>11</v>
      </c>
      <c r="E30" s="76">
        <f t="shared" si="5"/>
        <v>57.97</v>
      </c>
      <c r="F30" s="76">
        <f>ROUND(E30*1.035/1.03,2)</f>
        <v>58.25</v>
      </c>
      <c r="G30" s="76">
        <f t="shared" si="4"/>
        <v>58.25</v>
      </c>
      <c r="H30" s="2">
        <v>57.69</v>
      </c>
      <c r="I30" s="2">
        <f t="shared" si="1"/>
        <v>59.71</v>
      </c>
      <c r="J30" s="74">
        <f t="shared" si="6"/>
        <v>505.00999999999993</v>
      </c>
      <c r="K30" s="74"/>
      <c r="L30" s="111">
        <f t="shared" si="2"/>
        <v>59.42</v>
      </c>
      <c r="M30" s="111">
        <f t="shared" si="3"/>
        <v>59.71</v>
      </c>
    </row>
    <row r="31" spans="2:13" x14ac:dyDescent="0.45">
      <c r="B31" s="73" t="s">
        <v>23</v>
      </c>
      <c r="C31" s="73" t="s">
        <v>25</v>
      </c>
      <c r="D31" s="73" t="s">
        <v>26</v>
      </c>
      <c r="E31" s="73"/>
      <c r="F31" s="73"/>
      <c r="G31" s="76">
        <f t="shared" si="4"/>
        <v>0</v>
      </c>
      <c r="I31" s="2">
        <f t="shared" si="1"/>
        <v>0</v>
      </c>
      <c r="J31" s="74"/>
      <c r="K31" s="74"/>
      <c r="L31" s="78">
        <f t="shared" si="2"/>
        <v>0</v>
      </c>
      <c r="M31" s="78">
        <f t="shared" si="3"/>
        <v>0</v>
      </c>
    </row>
    <row r="32" spans="2:13" x14ac:dyDescent="0.45">
      <c r="B32" s="72" t="s">
        <v>24</v>
      </c>
      <c r="C32" s="72" t="s">
        <v>94</v>
      </c>
      <c r="D32" s="72" t="s">
        <v>33</v>
      </c>
      <c r="E32" s="76">
        <v>826.64</v>
      </c>
      <c r="F32" s="76">
        <f t="shared" ref="F32:F68" si="7">ROUND(E32*1.035/1.03,2)</f>
        <v>830.65</v>
      </c>
      <c r="G32" s="76">
        <f t="shared" si="4"/>
        <v>830.65</v>
      </c>
      <c r="I32" s="2">
        <f t="shared" si="1"/>
        <v>851.42</v>
      </c>
      <c r="J32" s="71"/>
      <c r="K32" s="71"/>
      <c r="L32" s="111">
        <f t="shared" si="2"/>
        <v>847.26</v>
      </c>
      <c r="M32" s="111">
        <f t="shared" si="3"/>
        <v>851.42</v>
      </c>
    </row>
    <row r="33" spans="2:13" x14ac:dyDescent="0.45">
      <c r="B33" s="72" t="s">
        <v>24</v>
      </c>
      <c r="C33" s="72" t="s">
        <v>95</v>
      </c>
      <c r="D33" s="72" t="s">
        <v>34</v>
      </c>
      <c r="E33" s="76">
        <v>779.34</v>
      </c>
      <c r="F33" s="76">
        <f t="shared" si="7"/>
        <v>783.12</v>
      </c>
      <c r="G33" s="76">
        <f t="shared" si="4"/>
        <v>783.12</v>
      </c>
      <c r="I33" s="2">
        <f t="shared" si="1"/>
        <v>802.7</v>
      </c>
      <c r="J33" s="71"/>
      <c r="K33" s="71"/>
      <c r="L33" s="111">
        <f t="shared" si="2"/>
        <v>798.78</v>
      </c>
      <c r="M33" s="111">
        <f t="shared" si="3"/>
        <v>802.7</v>
      </c>
    </row>
    <row r="34" spans="2:13" x14ac:dyDescent="0.45">
      <c r="B34" s="72" t="s">
        <v>24</v>
      </c>
      <c r="C34" s="72" t="s">
        <v>96</v>
      </c>
      <c r="D34" s="72" t="s">
        <v>35</v>
      </c>
      <c r="E34" s="76">
        <v>642.14</v>
      </c>
      <c r="F34" s="76">
        <f t="shared" si="7"/>
        <v>645.26</v>
      </c>
      <c r="G34" s="76">
        <f t="shared" si="4"/>
        <v>645.26</v>
      </c>
      <c r="I34" s="2">
        <f t="shared" si="1"/>
        <v>661.39</v>
      </c>
      <c r="J34" s="71"/>
      <c r="K34" s="71"/>
      <c r="L34" s="111">
        <f t="shared" si="2"/>
        <v>658.17</v>
      </c>
      <c r="M34" s="111">
        <f t="shared" si="3"/>
        <v>661.39</v>
      </c>
    </row>
    <row r="35" spans="2:13" x14ac:dyDescent="0.45">
      <c r="B35" s="72" t="s">
        <v>24</v>
      </c>
      <c r="C35" s="72" t="s">
        <v>97</v>
      </c>
      <c r="D35" s="72" t="s">
        <v>36</v>
      </c>
      <c r="E35" s="76">
        <v>525.77</v>
      </c>
      <c r="F35" s="76">
        <f>ROUND(E35*1.035/1.03,2)+0.01</f>
        <v>528.33000000000004</v>
      </c>
      <c r="G35" s="76">
        <f t="shared" si="4"/>
        <v>528.33000000000004</v>
      </c>
      <c r="I35" s="2">
        <f t="shared" si="1"/>
        <v>541.54</v>
      </c>
      <c r="J35" s="71"/>
      <c r="K35" s="71"/>
      <c r="L35" s="111">
        <f t="shared" si="2"/>
        <v>538.89</v>
      </c>
      <c r="M35" s="111">
        <f t="shared" si="3"/>
        <v>541.53</v>
      </c>
    </row>
    <row r="36" spans="2:13" x14ac:dyDescent="0.45">
      <c r="B36" s="72" t="s">
        <v>24</v>
      </c>
      <c r="C36" s="72" t="s">
        <v>98</v>
      </c>
      <c r="D36" s="72" t="s">
        <v>37</v>
      </c>
      <c r="E36" s="76">
        <v>420.22</v>
      </c>
      <c r="F36" s="76">
        <f t="shared" si="7"/>
        <v>422.26</v>
      </c>
      <c r="G36" s="76">
        <f t="shared" si="4"/>
        <v>422.26</v>
      </c>
      <c r="I36" s="2">
        <f t="shared" ref="I36:I68" si="8">ROUND(ROUND(ROUND(E36/1.03,2)*1.035,2)*1.025,2)</f>
        <v>432.82</v>
      </c>
      <c r="J36" s="71"/>
      <c r="K36" s="71"/>
      <c r="L36" s="111">
        <f t="shared" ref="L36:L68" si="9">ROUND(ROUND(E36*1.035/1.03,2)*1.02,2)</f>
        <v>430.71</v>
      </c>
      <c r="M36" s="111">
        <f t="shared" ref="M36:M68" si="10">ROUND(ROUND(E36*1.035/1.03,2)*1.025,2)</f>
        <v>432.82</v>
      </c>
    </row>
    <row r="37" spans="2:13" x14ac:dyDescent="0.45">
      <c r="B37" s="72" t="s">
        <v>24</v>
      </c>
      <c r="C37" s="72" t="s">
        <v>99</v>
      </c>
      <c r="D37" s="72" t="s">
        <v>38</v>
      </c>
      <c r="E37" s="76">
        <v>311.01</v>
      </c>
      <c r="F37" s="76">
        <f t="shared" si="7"/>
        <v>312.52</v>
      </c>
      <c r="G37" s="76">
        <f t="shared" si="4"/>
        <v>312.52</v>
      </c>
      <c r="I37" s="2">
        <f t="shared" si="8"/>
        <v>320.33</v>
      </c>
      <c r="J37" s="71"/>
      <c r="K37" s="71"/>
      <c r="L37" s="111">
        <f t="shared" si="9"/>
        <v>318.77</v>
      </c>
      <c r="M37" s="111">
        <f t="shared" si="10"/>
        <v>320.33</v>
      </c>
    </row>
    <row r="38" spans="2:13" x14ac:dyDescent="0.45">
      <c r="B38" s="72" t="s">
        <v>39</v>
      </c>
      <c r="C38" s="72" t="s">
        <v>94</v>
      </c>
      <c r="D38" s="72" t="s">
        <v>33</v>
      </c>
      <c r="E38" s="76">
        <v>567.19000000000005</v>
      </c>
      <c r="F38" s="76">
        <f t="shared" si="7"/>
        <v>569.94000000000005</v>
      </c>
      <c r="G38" s="76">
        <f t="shared" si="4"/>
        <v>569.94000000000005</v>
      </c>
      <c r="I38" s="2">
        <f t="shared" si="8"/>
        <v>584.19000000000005</v>
      </c>
      <c r="J38" s="71"/>
      <c r="K38" s="71"/>
      <c r="L38" s="111">
        <f t="shared" si="9"/>
        <v>581.34</v>
      </c>
      <c r="M38" s="111">
        <f t="shared" si="10"/>
        <v>584.19000000000005</v>
      </c>
    </row>
    <row r="39" spans="2:13" x14ac:dyDescent="0.45">
      <c r="B39" s="72" t="s">
        <v>39</v>
      </c>
      <c r="C39" s="72" t="s">
        <v>95</v>
      </c>
      <c r="D39" s="72" t="s">
        <v>34</v>
      </c>
      <c r="E39" s="76">
        <v>521</v>
      </c>
      <c r="F39" s="76">
        <f t="shared" si="7"/>
        <v>523.53</v>
      </c>
      <c r="G39" s="76">
        <f t="shared" si="4"/>
        <v>523.53</v>
      </c>
      <c r="I39" s="2">
        <f t="shared" si="8"/>
        <v>536.62</v>
      </c>
      <c r="J39" s="71"/>
      <c r="K39" s="71"/>
      <c r="L39" s="111">
        <f t="shared" si="9"/>
        <v>534</v>
      </c>
      <c r="M39" s="111">
        <f t="shared" si="10"/>
        <v>536.62</v>
      </c>
    </row>
    <row r="40" spans="2:13" x14ac:dyDescent="0.45">
      <c r="B40" s="72" t="s">
        <v>39</v>
      </c>
      <c r="C40" s="72" t="s">
        <v>96</v>
      </c>
      <c r="D40" s="72" t="s">
        <v>35</v>
      </c>
      <c r="E40" s="76">
        <v>474.88</v>
      </c>
      <c r="F40" s="76">
        <f t="shared" si="7"/>
        <v>477.19</v>
      </c>
      <c r="G40" s="76">
        <f t="shared" si="4"/>
        <v>477.19</v>
      </c>
      <c r="I40" s="2">
        <f t="shared" si="8"/>
        <v>489.12</v>
      </c>
      <c r="J40" s="71"/>
      <c r="K40" s="71"/>
      <c r="L40" s="111">
        <f t="shared" si="9"/>
        <v>486.73</v>
      </c>
      <c r="M40" s="111">
        <f t="shared" si="10"/>
        <v>489.12</v>
      </c>
    </row>
    <row r="41" spans="2:13" x14ac:dyDescent="0.45">
      <c r="B41" s="72" t="s">
        <v>39</v>
      </c>
      <c r="C41" s="72" t="s">
        <v>97</v>
      </c>
      <c r="D41" s="72" t="s">
        <v>36</v>
      </c>
      <c r="E41" s="76">
        <v>407.94</v>
      </c>
      <c r="F41" s="76">
        <f t="shared" si="7"/>
        <v>409.92</v>
      </c>
      <c r="G41" s="76">
        <f t="shared" si="4"/>
        <v>409.92</v>
      </c>
      <c r="I41" s="2">
        <f t="shared" si="8"/>
        <v>420.17</v>
      </c>
      <c r="J41" s="71"/>
      <c r="K41" s="71"/>
      <c r="L41" s="111">
        <f t="shared" si="9"/>
        <v>418.12</v>
      </c>
      <c r="M41" s="111">
        <f t="shared" si="10"/>
        <v>420.17</v>
      </c>
    </row>
    <row r="42" spans="2:13" x14ac:dyDescent="0.45">
      <c r="B42" s="72" t="s">
        <v>39</v>
      </c>
      <c r="C42" s="72" t="s">
        <v>98</v>
      </c>
      <c r="D42" s="72" t="s">
        <v>37</v>
      </c>
      <c r="E42" s="76">
        <v>355.05</v>
      </c>
      <c r="F42" s="76">
        <f t="shared" si="7"/>
        <v>356.77</v>
      </c>
      <c r="G42" s="76">
        <f t="shared" si="4"/>
        <v>356.77</v>
      </c>
      <c r="I42" s="2">
        <f t="shared" si="8"/>
        <v>365.69</v>
      </c>
      <c r="J42" s="71"/>
      <c r="K42" s="71"/>
      <c r="L42" s="111">
        <f t="shared" si="9"/>
        <v>363.91</v>
      </c>
      <c r="M42" s="111">
        <f t="shared" si="10"/>
        <v>365.69</v>
      </c>
    </row>
    <row r="43" spans="2:13" x14ac:dyDescent="0.45">
      <c r="B43" s="72" t="s">
        <v>40</v>
      </c>
      <c r="C43" s="72" t="s">
        <v>94</v>
      </c>
      <c r="D43" s="72" t="s">
        <v>33</v>
      </c>
      <c r="E43" s="76">
        <v>567.19000000000005</v>
      </c>
      <c r="F43" s="76">
        <f t="shared" si="7"/>
        <v>569.94000000000005</v>
      </c>
      <c r="G43" s="76">
        <f t="shared" si="4"/>
        <v>569.94000000000005</v>
      </c>
      <c r="I43" s="2">
        <f t="shared" si="8"/>
        <v>584.19000000000005</v>
      </c>
      <c r="L43" s="111">
        <f t="shared" si="9"/>
        <v>581.34</v>
      </c>
      <c r="M43" s="111">
        <f t="shared" si="10"/>
        <v>584.19000000000005</v>
      </c>
    </row>
    <row r="44" spans="2:13" x14ac:dyDescent="0.45">
      <c r="B44" s="72" t="s">
        <v>40</v>
      </c>
      <c r="C44" s="72" t="s">
        <v>95</v>
      </c>
      <c r="D44" s="72" t="s">
        <v>34</v>
      </c>
      <c r="E44" s="76">
        <v>521</v>
      </c>
      <c r="F44" s="76">
        <f t="shared" si="7"/>
        <v>523.53</v>
      </c>
      <c r="G44" s="76">
        <f t="shared" si="4"/>
        <v>523.53</v>
      </c>
      <c r="I44" s="2">
        <f t="shared" si="8"/>
        <v>536.62</v>
      </c>
      <c r="L44" s="111">
        <f t="shared" si="9"/>
        <v>534</v>
      </c>
      <c r="M44" s="111">
        <f t="shared" si="10"/>
        <v>536.62</v>
      </c>
    </row>
    <row r="45" spans="2:13" x14ac:dyDescent="0.45">
      <c r="B45" s="72" t="s">
        <v>40</v>
      </c>
      <c r="C45" s="72" t="s">
        <v>96</v>
      </c>
      <c r="D45" s="72" t="s">
        <v>35</v>
      </c>
      <c r="E45" s="76">
        <v>474.88</v>
      </c>
      <c r="F45" s="76">
        <f t="shared" si="7"/>
        <v>477.19</v>
      </c>
      <c r="G45" s="76">
        <f t="shared" si="4"/>
        <v>477.19</v>
      </c>
      <c r="I45" s="2">
        <f t="shared" si="8"/>
        <v>489.12</v>
      </c>
      <c r="L45" s="111">
        <f t="shared" si="9"/>
        <v>486.73</v>
      </c>
      <c r="M45" s="111">
        <f t="shared" si="10"/>
        <v>489.12</v>
      </c>
    </row>
    <row r="46" spans="2:13" x14ac:dyDescent="0.45">
      <c r="B46" s="72" t="s">
        <v>40</v>
      </c>
      <c r="C46" s="72" t="s">
        <v>97</v>
      </c>
      <c r="D46" s="72" t="s">
        <v>36</v>
      </c>
      <c r="E46" s="76">
        <v>407.94</v>
      </c>
      <c r="F46" s="76">
        <f t="shared" si="7"/>
        <v>409.92</v>
      </c>
      <c r="G46" s="76">
        <f t="shared" si="4"/>
        <v>409.92</v>
      </c>
      <c r="I46" s="2">
        <f t="shared" si="8"/>
        <v>420.17</v>
      </c>
      <c r="L46" s="111">
        <f t="shared" si="9"/>
        <v>418.12</v>
      </c>
      <c r="M46" s="111">
        <f t="shared" si="10"/>
        <v>420.17</v>
      </c>
    </row>
    <row r="47" spans="2:13" x14ac:dyDescent="0.45">
      <c r="B47" s="72" t="s">
        <v>40</v>
      </c>
      <c r="C47" s="72" t="s">
        <v>98</v>
      </c>
      <c r="D47" s="72" t="s">
        <v>37</v>
      </c>
      <c r="E47" s="76">
        <v>355.05</v>
      </c>
      <c r="F47" s="76">
        <f t="shared" si="7"/>
        <v>356.77</v>
      </c>
      <c r="G47" s="76">
        <f t="shared" si="4"/>
        <v>356.77</v>
      </c>
      <c r="I47" s="2">
        <f t="shared" si="8"/>
        <v>365.69</v>
      </c>
      <c r="L47" s="111">
        <f t="shared" si="9"/>
        <v>363.91</v>
      </c>
      <c r="M47" s="111">
        <f t="shared" si="10"/>
        <v>365.69</v>
      </c>
    </row>
    <row r="48" spans="2:13" x14ac:dyDescent="0.45">
      <c r="B48" s="72" t="s">
        <v>24</v>
      </c>
      <c r="C48" s="72" t="s">
        <v>69</v>
      </c>
      <c r="D48" s="72" t="s">
        <v>33</v>
      </c>
      <c r="E48" s="76">
        <v>904.28</v>
      </c>
      <c r="F48" s="76">
        <f t="shared" si="7"/>
        <v>908.67</v>
      </c>
      <c r="G48" s="76">
        <f t="shared" si="4"/>
        <v>908.67</v>
      </c>
      <c r="I48" s="2">
        <f t="shared" si="8"/>
        <v>931.39</v>
      </c>
      <c r="L48" s="111">
        <f t="shared" si="9"/>
        <v>926.84</v>
      </c>
      <c r="M48" s="111">
        <f t="shared" si="10"/>
        <v>931.39</v>
      </c>
    </row>
    <row r="49" spans="2:13" x14ac:dyDescent="0.45">
      <c r="B49" s="72" t="s">
        <v>24</v>
      </c>
      <c r="C49" s="72" t="s">
        <v>70</v>
      </c>
      <c r="D49" s="72" t="s">
        <v>34</v>
      </c>
      <c r="E49" s="76">
        <v>856.98</v>
      </c>
      <c r="F49" s="76">
        <f t="shared" si="7"/>
        <v>861.14</v>
      </c>
      <c r="G49" s="76">
        <f t="shared" si="4"/>
        <v>861.14</v>
      </c>
      <c r="I49" s="2">
        <f t="shared" si="8"/>
        <v>882.67</v>
      </c>
      <c r="L49" s="111">
        <f t="shared" si="9"/>
        <v>878.36</v>
      </c>
      <c r="M49" s="111">
        <f t="shared" si="10"/>
        <v>882.67</v>
      </c>
    </row>
    <row r="50" spans="2:13" x14ac:dyDescent="0.45">
      <c r="B50" s="72" t="s">
        <v>24</v>
      </c>
      <c r="C50" s="72" t="s">
        <v>71</v>
      </c>
      <c r="D50" s="72" t="s">
        <v>35</v>
      </c>
      <c r="E50" s="76">
        <v>719.74</v>
      </c>
      <c r="F50" s="76">
        <f>ROUND(E50*1.035/1.03,2)+0.01</f>
        <v>723.24</v>
      </c>
      <c r="G50" s="76">
        <f t="shared" si="4"/>
        <v>723.24</v>
      </c>
      <c r="I50" s="2">
        <f t="shared" si="8"/>
        <v>741.32</v>
      </c>
      <c r="L50" s="111">
        <f t="shared" si="9"/>
        <v>737.69</v>
      </c>
      <c r="M50" s="111">
        <f t="shared" si="10"/>
        <v>741.31</v>
      </c>
    </row>
    <row r="51" spans="2:13" x14ac:dyDescent="0.45">
      <c r="B51" s="72" t="s">
        <v>24</v>
      </c>
      <c r="C51" s="72" t="s">
        <v>72</v>
      </c>
      <c r="D51" s="72" t="s">
        <v>36</v>
      </c>
      <c r="E51" s="76">
        <v>603.4</v>
      </c>
      <c r="F51" s="76">
        <f t="shared" si="7"/>
        <v>606.33000000000004</v>
      </c>
      <c r="G51" s="76">
        <f t="shared" si="4"/>
        <v>606.33000000000004</v>
      </c>
      <c r="I51" s="2">
        <f t="shared" si="8"/>
        <v>621.49</v>
      </c>
      <c r="L51" s="111">
        <f t="shared" si="9"/>
        <v>618.46</v>
      </c>
      <c r="M51" s="111">
        <f t="shared" si="10"/>
        <v>621.49</v>
      </c>
    </row>
    <row r="52" spans="2:13" x14ac:dyDescent="0.45">
      <c r="B52" s="72" t="s">
        <v>24</v>
      </c>
      <c r="C52" s="72" t="s">
        <v>73</v>
      </c>
      <c r="D52" s="72" t="s">
        <v>37</v>
      </c>
      <c r="E52" s="76">
        <v>497.86</v>
      </c>
      <c r="F52" s="76">
        <f t="shared" si="7"/>
        <v>500.28</v>
      </c>
      <c r="G52" s="76">
        <f t="shared" si="4"/>
        <v>500.28</v>
      </c>
      <c r="I52" s="2">
        <f t="shared" si="8"/>
        <v>512.79</v>
      </c>
      <c r="L52" s="111">
        <f t="shared" si="9"/>
        <v>510.29</v>
      </c>
      <c r="M52" s="111">
        <f t="shared" si="10"/>
        <v>512.79</v>
      </c>
    </row>
    <row r="53" spans="2:13" x14ac:dyDescent="0.45">
      <c r="B53" s="72" t="s">
        <v>24</v>
      </c>
      <c r="C53" s="72" t="s">
        <v>74</v>
      </c>
      <c r="D53" s="72" t="s">
        <v>38</v>
      </c>
      <c r="E53" s="76">
        <v>388.64</v>
      </c>
      <c r="F53" s="76">
        <f t="shared" si="7"/>
        <v>390.53</v>
      </c>
      <c r="G53" s="76">
        <f t="shared" si="4"/>
        <v>390.53</v>
      </c>
      <c r="I53" s="2">
        <f t="shared" si="8"/>
        <v>400.29</v>
      </c>
      <c r="L53" s="111">
        <f t="shared" si="9"/>
        <v>398.34</v>
      </c>
      <c r="M53" s="111">
        <f t="shared" si="10"/>
        <v>400.29</v>
      </c>
    </row>
    <row r="54" spans="2:13" x14ac:dyDescent="0.45">
      <c r="B54" s="72" t="s">
        <v>39</v>
      </c>
      <c r="C54" s="72" t="s">
        <v>69</v>
      </c>
      <c r="D54" s="72" t="s">
        <v>33</v>
      </c>
      <c r="E54" s="76">
        <v>644.83000000000004</v>
      </c>
      <c r="F54" s="76">
        <f t="shared" si="7"/>
        <v>647.96</v>
      </c>
      <c r="G54" s="76">
        <f t="shared" si="4"/>
        <v>647.96</v>
      </c>
      <c r="I54" s="2">
        <f t="shared" si="8"/>
        <v>664.16</v>
      </c>
      <c r="L54" s="111">
        <f t="shared" si="9"/>
        <v>660.92</v>
      </c>
      <c r="M54" s="111">
        <f t="shared" si="10"/>
        <v>664.16</v>
      </c>
    </row>
    <row r="55" spans="2:13" x14ac:dyDescent="0.45">
      <c r="B55" s="72" t="s">
        <v>39</v>
      </c>
      <c r="C55" s="72" t="s">
        <v>70</v>
      </c>
      <c r="D55" s="72" t="s">
        <v>34</v>
      </c>
      <c r="E55" s="76">
        <v>598.64</v>
      </c>
      <c r="F55" s="76">
        <f>ROUND(E55*1.035/1.03,2)-0.01</f>
        <v>601.54</v>
      </c>
      <c r="G55" s="76">
        <f t="shared" si="4"/>
        <v>601.54</v>
      </c>
      <c r="I55" s="2">
        <f t="shared" si="8"/>
        <v>616.58000000000004</v>
      </c>
      <c r="L55" s="111">
        <f t="shared" si="9"/>
        <v>613.58000000000004</v>
      </c>
      <c r="M55" s="111">
        <f t="shared" si="10"/>
        <v>616.59</v>
      </c>
    </row>
    <row r="56" spans="2:13" x14ac:dyDescent="0.45">
      <c r="B56" s="72" t="s">
        <v>39</v>
      </c>
      <c r="C56" s="72" t="s">
        <v>71</v>
      </c>
      <c r="D56" s="72" t="s">
        <v>35</v>
      </c>
      <c r="E56" s="76">
        <v>552.52</v>
      </c>
      <c r="F56" s="76">
        <f>ROUND(E56*1.035/1.03,2)+0.01</f>
        <v>555.21</v>
      </c>
      <c r="G56" s="76">
        <f t="shared" si="4"/>
        <v>555.21</v>
      </c>
      <c r="I56" s="2">
        <f t="shared" si="8"/>
        <v>569.09</v>
      </c>
      <c r="L56" s="111">
        <f t="shared" si="9"/>
        <v>566.29999999999995</v>
      </c>
      <c r="M56" s="111">
        <f t="shared" si="10"/>
        <v>569.08000000000004</v>
      </c>
    </row>
    <row r="57" spans="2:13" x14ac:dyDescent="0.45">
      <c r="B57" s="72" t="s">
        <v>39</v>
      </c>
      <c r="C57" s="72" t="s">
        <v>72</v>
      </c>
      <c r="D57" s="72" t="s">
        <v>36</v>
      </c>
      <c r="E57" s="76">
        <v>485.57</v>
      </c>
      <c r="F57" s="76">
        <f t="shared" si="7"/>
        <v>487.93</v>
      </c>
      <c r="G57" s="76">
        <f t="shared" si="4"/>
        <v>487.93</v>
      </c>
      <c r="I57" s="2">
        <f t="shared" si="8"/>
        <v>500.13</v>
      </c>
      <c r="L57" s="111">
        <f t="shared" si="9"/>
        <v>497.69</v>
      </c>
      <c r="M57" s="111">
        <f t="shared" si="10"/>
        <v>500.13</v>
      </c>
    </row>
    <row r="58" spans="2:13" x14ac:dyDescent="0.45">
      <c r="B58" s="72" t="s">
        <v>39</v>
      </c>
      <c r="C58" s="72" t="s">
        <v>73</v>
      </c>
      <c r="D58" s="72" t="s">
        <v>37</v>
      </c>
      <c r="E58" s="76">
        <v>432.68</v>
      </c>
      <c r="F58" s="76">
        <f t="shared" si="7"/>
        <v>434.78</v>
      </c>
      <c r="G58" s="76">
        <f t="shared" si="4"/>
        <v>434.78</v>
      </c>
      <c r="I58" s="2">
        <f t="shared" si="8"/>
        <v>445.65</v>
      </c>
      <c r="L58" s="111">
        <f t="shared" si="9"/>
        <v>443.48</v>
      </c>
      <c r="M58" s="111">
        <f t="shared" si="10"/>
        <v>445.65</v>
      </c>
    </row>
    <row r="59" spans="2:13" x14ac:dyDescent="0.45">
      <c r="B59" s="72" t="s">
        <v>40</v>
      </c>
      <c r="C59" s="72" t="s">
        <v>69</v>
      </c>
      <c r="D59" s="72" t="s">
        <v>33</v>
      </c>
      <c r="E59" s="76">
        <v>644.83000000000004</v>
      </c>
      <c r="F59" s="76">
        <f t="shared" si="7"/>
        <v>647.96</v>
      </c>
      <c r="G59" s="76">
        <f t="shared" si="4"/>
        <v>647.96</v>
      </c>
      <c r="I59" s="2">
        <f t="shared" si="8"/>
        <v>664.16</v>
      </c>
      <c r="L59" s="111">
        <f t="shared" si="9"/>
        <v>660.92</v>
      </c>
      <c r="M59" s="111">
        <f t="shared" si="10"/>
        <v>664.16</v>
      </c>
    </row>
    <row r="60" spans="2:13" x14ac:dyDescent="0.45">
      <c r="B60" s="72" t="s">
        <v>40</v>
      </c>
      <c r="C60" s="72" t="s">
        <v>70</v>
      </c>
      <c r="D60" s="72" t="s">
        <v>34</v>
      </c>
      <c r="E60" s="76">
        <v>598.64</v>
      </c>
      <c r="F60" s="76">
        <f>ROUND(E60*1.035/1.03,2)-0.01</f>
        <v>601.54</v>
      </c>
      <c r="G60" s="76">
        <f t="shared" si="4"/>
        <v>601.54</v>
      </c>
      <c r="I60" s="2">
        <f t="shared" si="8"/>
        <v>616.58000000000004</v>
      </c>
      <c r="L60" s="111">
        <f t="shared" si="9"/>
        <v>613.58000000000004</v>
      </c>
      <c r="M60" s="111">
        <f t="shared" si="10"/>
        <v>616.59</v>
      </c>
    </row>
    <row r="61" spans="2:13" x14ac:dyDescent="0.45">
      <c r="B61" s="72" t="s">
        <v>40</v>
      </c>
      <c r="C61" s="72" t="s">
        <v>71</v>
      </c>
      <c r="D61" s="72" t="s">
        <v>35</v>
      </c>
      <c r="E61" s="76">
        <v>552.52</v>
      </c>
      <c r="F61" s="76">
        <f>ROUND(E61*1.035/1.03,2)+0.01</f>
        <v>555.21</v>
      </c>
      <c r="G61" s="76">
        <f t="shared" si="4"/>
        <v>555.21</v>
      </c>
      <c r="I61" s="2">
        <f t="shared" si="8"/>
        <v>569.09</v>
      </c>
      <c r="L61" s="111">
        <f t="shared" si="9"/>
        <v>566.29999999999995</v>
      </c>
      <c r="M61" s="111">
        <f t="shared" si="10"/>
        <v>569.08000000000004</v>
      </c>
    </row>
    <row r="62" spans="2:13" x14ac:dyDescent="0.45">
      <c r="B62" s="72" t="s">
        <v>40</v>
      </c>
      <c r="C62" s="72" t="s">
        <v>72</v>
      </c>
      <c r="D62" s="72" t="s">
        <v>36</v>
      </c>
      <c r="E62" s="76">
        <v>485.57</v>
      </c>
      <c r="F62" s="76">
        <f t="shared" si="7"/>
        <v>487.93</v>
      </c>
      <c r="G62" s="76">
        <f t="shared" si="4"/>
        <v>487.93</v>
      </c>
      <c r="I62" s="2">
        <f t="shared" si="8"/>
        <v>500.13</v>
      </c>
      <c r="L62" s="111">
        <f t="shared" si="9"/>
        <v>497.69</v>
      </c>
      <c r="M62" s="111">
        <f t="shared" si="10"/>
        <v>500.13</v>
      </c>
    </row>
    <row r="63" spans="2:13" x14ac:dyDescent="0.45">
      <c r="B63" s="72" t="s">
        <v>40</v>
      </c>
      <c r="C63" s="72" t="s">
        <v>73</v>
      </c>
      <c r="D63" s="72" t="s">
        <v>37</v>
      </c>
      <c r="E63" s="76">
        <v>432.68</v>
      </c>
      <c r="F63" s="76">
        <f t="shared" si="7"/>
        <v>434.78</v>
      </c>
      <c r="G63" s="76">
        <f t="shared" si="4"/>
        <v>434.78</v>
      </c>
      <c r="I63" s="2">
        <f t="shared" si="8"/>
        <v>445.65</v>
      </c>
      <c r="L63" s="111">
        <f t="shared" si="9"/>
        <v>443.48</v>
      </c>
      <c r="M63" s="111">
        <f t="shared" si="10"/>
        <v>445.65</v>
      </c>
    </row>
    <row r="64" spans="2:13" x14ac:dyDescent="0.45">
      <c r="B64" s="72" t="s">
        <v>24</v>
      </c>
      <c r="C64" s="72" t="s">
        <v>41</v>
      </c>
      <c r="D64" s="72" t="s">
        <v>45</v>
      </c>
      <c r="E64" s="76">
        <v>920.09</v>
      </c>
      <c r="F64" s="76">
        <f t="shared" si="7"/>
        <v>924.56</v>
      </c>
      <c r="G64" s="76">
        <f t="shared" si="4"/>
        <v>924.56</v>
      </c>
      <c r="I64" s="2">
        <f t="shared" si="8"/>
        <v>947.67</v>
      </c>
      <c r="L64" s="111">
        <f t="shared" si="9"/>
        <v>943.05</v>
      </c>
      <c r="M64" s="111">
        <f t="shared" si="10"/>
        <v>947.67</v>
      </c>
    </row>
    <row r="65" spans="2:13" x14ac:dyDescent="0.45">
      <c r="B65" s="72" t="s">
        <v>24</v>
      </c>
      <c r="C65" s="72" t="s">
        <v>42</v>
      </c>
      <c r="D65" s="72" t="s">
        <v>46</v>
      </c>
      <c r="E65" s="76">
        <v>827.39</v>
      </c>
      <c r="F65" s="76">
        <f t="shared" si="7"/>
        <v>831.41</v>
      </c>
      <c r="G65" s="76">
        <f t="shared" si="4"/>
        <v>831.41</v>
      </c>
      <c r="I65" s="2">
        <f t="shared" si="8"/>
        <v>852.2</v>
      </c>
      <c r="L65" s="111">
        <f t="shared" si="9"/>
        <v>848.04</v>
      </c>
      <c r="M65" s="111">
        <f t="shared" si="10"/>
        <v>852.2</v>
      </c>
    </row>
    <row r="66" spans="2:13" x14ac:dyDescent="0.45">
      <c r="B66" s="72" t="s">
        <v>24</v>
      </c>
      <c r="C66" s="72" t="s">
        <v>43</v>
      </c>
      <c r="D66" s="72" t="s">
        <v>47</v>
      </c>
      <c r="E66" s="76">
        <v>779.61</v>
      </c>
      <c r="F66" s="76">
        <f t="shared" si="7"/>
        <v>783.39</v>
      </c>
      <c r="G66" s="76">
        <f t="shared" si="4"/>
        <v>783.39</v>
      </c>
      <c r="I66" s="2">
        <f t="shared" si="8"/>
        <v>802.97</v>
      </c>
      <c r="L66" s="111">
        <f t="shared" si="9"/>
        <v>799.06</v>
      </c>
      <c r="M66" s="111">
        <f t="shared" si="10"/>
        <v>802.97</v>
      </c>
    </row>
    <row r="67" spans="2:13" x14ac:dyDescent="0.45">
      <c r="B67" s="72" t="s">
        <v>24</v>
      </c>
      <c r="C67" s="72" t="s">
        <v>44</v>
      </c>
      <c r="D67" s="72" t="s">
        <v>48</v>
      </c>
      <c r="E67" s="76">
        <v>737.29</v>
      </c>
      <c r="F67" s="76">
        <f t="shared" si="7"/>
        <v>740.87</v>
      </c>
      <c r="G67" s="76">
        <f t="shared" si="4"/>
        <v>740.87</v>
      </c>
      <c r="I67" s="2">
        <f t="shared" si="8"/>
        <v>759.39</v>
      </c>
      <c r="L67" s="111">
        <f t="shared" si="9"/>
        <v>755.69</v>
      </c>
      <c r="M67" s="111">
        <f t="shared" si="10"/>
        <v>759.39</v>
      </c>
    </row>
    <row r="68" spans="2:13" x14ac:dyDescent="0.45">
      <c r="B68" s="72" t="s">
        <v>39</v>
      </c>
      <c r="C68" s="72" t="s">
        <v>41</v>
      </c>
      <c r="D68" s="72" t="s">
        <v>45</v>
      </c>
      <c r="E68" s="76">
        <v>699.75</v>
      </c>
      <c r="F68" s="76">
        <f t="shared" si="7"/>
        <v>703.15</v>
      </c>
      <c r="G68" s="76">
        <f t="shared" si="4"/>
        <v>703.15</v>
      </c>
      <c r="I68" s="2">
        <f t="shared" si="8"/>
        <v>720.73</v>
      </c>
      <c r="L68" s="111">
        <f t="shared" si="9"/>
        <v>717.21</v>
      </c>
      <c r="M68" s="111">
        <f t="shared" si="10"/>
        <v>720.73</v>
      </c>
    </row>
    <row r="69" spans="2:13" x14ac:dyDescent="0.45">
      <c r="B69" s="72" t="s">
        <v>39</v>
      </c>
      <c r="C69" s="72" t="s">
        <v>42</v>
      </c>
      <c r="D69" s="72" t="s">
        <v>46</v>
      </c>
      <c r="E69" s="76">
        <v>641.37</v>
      </c>
      <c r="F69" s="76">
        <f t="shared" ref="F69:F116" si="11">ROUND(E69*1.035/1.03,2)</f>
        <v>644.48</v>
      </c>
      <c r="G69" s="76">
        <f t="shared" ref="G69:G121" si="12">F69</f>
        <v>644.48</v>
      </c>
      <c r="I69" s="2">
        <f t="shared" ref="I69:I116" si="13">ROUND(ROUND(ROUND(E69/1.03,2)*1.035,2)*1.025,2)</f>
        <v>660.59</v>
      </c>
      <c r="L69" s="111">
        <f t="shared" ref="L69:L116" si="14">ROUND(ROUND(E69*1.035/1.03,2)*1.02,2)</f>
        <v>657.37</v>
      </c>
      <c r="M69" s="111">
        <f t="shared" ref="M69:M116" si="15">ROUND(ROUND(E69*1.035/1.03,2)*1.025,2)</f>
        <v>660.59</v>
      </c>
    </row>
    <row r="70" spans="2:13" x14ac:dyDescent="0.45">
      <c r="B70" s="72" t="s">
        <v>39</v>
      </c>
      <c r="C70" s="72" t="s">
        <v>43</v>
      </c>
      <c r="D70" s="72" t="s">
        <v>47</v>
      </c>
      <c r="E70" s="76">
        <v>594.44000000000005</v>
      </c>
      <c r="F70" s="76">
        <f t="shared" si="11"/>
        <v>597.33000000000004</v>
      </c>
      <c r="G70" s="76">
        <f t="shared" si="12"/>
        <v>597.33000000000004</v>
      </c>
      <c r="I70" s="2">
        <f t="shared" si="13"/>
        <v>612.26</v>
      </c>
      <c r="L70" s="111">
        <f t="shared" si="14"/>
        <v>609.28</v>
      </c>
      <c r="M70" s="111">
        <f t="shared" si="15"/>
        <v>612.26</v>
      </c>
    </row>
    <row r="71" spans="2:13" x14ac:dyDescent="0.45">
      <c r="B71" s="72" t="s">
        <v>39</v>
      </c>
      <c r="C71" s="72" t="s">
        <v>44</v>
      </c>
      <c r="D71" s="72" t="s">
        <v>48</v>
      </c>
      <c r="E71" s="76">
        <v>559.29999999999995</v>
      </c>
      <c r="F71" s="76">
        <f t="shared" si="11"/>
        <v>562.02</v>
      </c>
      <c r="G71" s="76">
        <f t="shared" si="12"/>
        <v>562.02</v>
      </c>
      <c r="I71" s="2">
        <f t="shared" si="13"/>
        <v>576.07000000000005</v>
      </c>
      <c r="L71" s="111">
        <f t="shared" si="14"/>
        <v>573.26</v>
      </c>
      <c r="M71" s="111">
        <f t="shared" si="15"/>
        <v>576.07000000000005</v>
      </c>
    </row>
    <row r="72" spans="2:13" x14ac:dyDescent="0.45">
      <c r="B72" s="72" t="s">
        <v>40</v>
      </c>
      <c r="C72" s="72" t="s">
        <v>41</v>
      </c>
      <c r="D72" s="72" t="s">
        <v>45</v>
      </c>
      <c r="E72" s="76">
        <v>699.75</v>
      </c>
      <c r="F72" s="76">
        <f t="shared" si="11"/>
        <v>703.15</v>
      </c>
      <c r="G72" s="76">
        <f t="shared" si="12"/>
        <v>703.15</v>
      </c>
      <c r="I72" s="2">
        <f t="shared" si="13"/>
        <v>720.73</v>
      </c>
      <c r="L72" s="111">
        <f t="shared" si="14"/>
        <v>717.21</v>
      </c>
      <c r="M72" s="111">
        <f t="shared" si="15"/>
        <v>720.73</v>
      </c>
    </row>
    <row r="73" spans="2:13" x14ac:dyDescent="0.45">
      <c r="B73" s="72" t="s">
        <v>40</v>
      </c>
      <c r="C73" s="72" t="s">
        <v>42</v>
      </c>
      <c r="D73" s="72" t="s">
        <v>46</v>
      </c>
      <c r="E73" s="76">
        <v>641.37</v>
      </c>
      <c r="F73" s="76">
        <f t="shared" si="11"/>
        <v>644.48</v>
      </c>
      <c r="G73" s="76">
        <f t="shared" si="12"/>
        <v>644.48</v>
      </c>
      <c r="I73" s="2">
        <f t="shared" si="13"/>
        <v>660.59</v>
      </c>
      <c r="L73" s="111">
        <f t="shared" si="14"/>
        <v>657.37</v>
      </c>
      <c r="M73" s="111">
        <f t="shared" si="15"/>
        <v>660.59</v>
      </c>
    </row>
    <row r="74" spans="2:13" x14ac:dyDescent="0.45">
      <c r="B74" s="72" t="s">
        <v>40</v>
      </c>
      <c r="C74" s="72" t="s">
        <v>43</v>
      </c>
      <c r="D74" s="72" t="s">
        <v>47</v>
      </c>
      <c r="E74" s="76">
        <v>594.44000000000005</v>
      </c>
      <c r="F74" s="76">
        <f t="shared" si="11"/>
        <v>597.33000000000004</v>
      </c>
      <c r="G74" s="76">
        <f t="shared" si="12"/>
        <v>597.33000000000004</v>
      </c>
      <c r="I74" s="2">
        <f t="shared" si="13"/>
        <v>612.26</v>
      </c>
      <c r="L74" s="111">
        <f t="shared" si="14"/>
        <v>609.28</v>
      </c>
      <c r="M74" s="111">
        <f t="shared" si="15"/>
        <v>612.26</v>
      </c>
    </row>
    <row r="75" spans="2:13" x14ac:dyDescent="0.45">
      <c r="B75" s="72" t="s">
        <v>40</v>
      </c>
      <c r="C75" s="72" t="s">
        <v>44</v>
      </c>
      <c r="D75" s="72" t="s">
        <v>48</v>
      </c>
      <c r="E75" s="76">
        <v>559.29999999999995</v>
      </c>
      <c r="F75" s="76">
        <f t="shared" si="11"/>
        <v>562.02</v>
      </c>
      <c r="G75" s="76">
        <f t="shared" si="12"/>
        <v>562.02</v>
      </c>
      <c r="I75" s="2">
        <f t="shared" si="13"/>
        <v>576.07000000000005</v>
      </c>
      <c r="L75" s="111">
        <f t="shared" si="14"/>
        <v>573.26</v>
      </c>
      <c r="M75" s="111">
        <f t="shared" si="15"/>
        <v>576.07000000000005</v>
      </c>
    </row>
    <row r="76" spans="2:13" x14ac:dyDescent="0.45">
      <c r="B76" s="72" t="s">
        <v>24</v>
      </c>
      <c r="C76" s="72" t="s">
        <v>100</v>
      </c>
      <c r="D76" s="72"/>
      <c r="E76" s="76">
        <v>737.29</v>
      </c>
      <c r="F76" s="76">
        <f t="shared" si="11"/>
        <v>740.87</v>
      </c>
      <c r="G76" s="76">
        <f t="shared" si="12"/>
        <v>740.87</v>
      </c>
      <c r="I76" s="2">
        <f t="shared" si="13"/>
        <v>759.39</v>
      </c>
      <c r="L76" s="111">
        <f t="shared" si="14"/>
        <v>755.69</v>
      </c>
      <c r="M76" s="111">
        <f t="shared" si="15"/>
        <v>759.39</v>
      </c>
    </row>
    <row r="77" spans="2:13" x14ac:dyDescent="0.45">
      <c r="B77" s="72" t="s">
        <v>49</v>
      </c>
      <c r="E77" s="76">
        <f>E89</f>
        <v>291.67</v>
      </c>
      <c r="F77" s="76">
        <f>ROUND(E77*1.035/1.03,2)-0.01</f>
        <v>293.08</v>
      </c>
      <c r="G77" s="76">
        <f t="shared" si="12"/>
        <v>293.08</v>
      </c>
      <c r="I77" s="2">
        <f t="shared" si="13"/>
        <v>300.41000000000003</v>
      </c>
      <c r="L77" s="111">
        <f t="shared" si="14"/>
        <v>298.95</v>
      </c>
      <c r="M77" s="111">
        <f t="shared" si="15"/>
        <v>300.42</v>
      </c>
    </row>
    <row r="78" spans="2:13" x14ac:dyDescent="0.45">
      <c r="B78" s="73" t="s">
        <v>52</v>
      </c>
      <c r="C78" s="73"/>
      <c r="D78" s="73"/>
      <c r="E78" s="77"/>
      <c r="F78" s="77"/>
      <c r="G78" s="76">
        <f t="shared" si="12"/>
        <v>0</v>
      </c>
      <c r="I78" s="2">
        <f t="shared" si="13"/>
        <v>0</v>
      </c>
      <c r="L78" s="78">
        <f t="shared" si="14"/>
        <v>0</v>
      </c>
      <c r="M78" s="78">
        <f t="shared" si="15"/>
        <v>0</v>
      </c>
    </row>
    <row r="79" spans="2:13" x14ac:dyDescent="0.45">
      <c r="B79" s="72" t="s">
        <v>110</v>
      </c>
      <c r="E79" s="76">
        <v>1635.32</v>
      </c>
      <c r="F79" s="76">
        <f t="shared" si="11"/>
        <v>1643.26</v>
      </c>
      <c r="G79" s="76">
        <f t="shared" si="12"/>
        <v>1643.26</v>
      </c>
      <c r="I79" s="2">
        <f t="shared" si="13"/>
        <v>1684.34</v>
      </c>
      <c r="L79" s="111">
        <f t="shared" si="14"/>
        <v>1676.13</v>
      </c>
      <c r="M79" s="111">
        <f t="shared" si="15"/>
        <v>1684.34</v>
      </c>
    </row>
    <row r="80" spans="2:13" x14ac:dyDescent="0.45">
      <c r="B80" s="72" t="s">
        <v>111</v>
      </c>
      <c r="E80" s="76">
        <v>1465.05</v>
      </c>
      <c r="F80" s="76">
        <f t="shared" si="11"/>
        <v>1472.16</v>
      </c>
      <c r="G80" s="76">
        <f t="shared" si="12"/>
        <v>1472.16</v>
      </c>
      <c r="I80" s="2">
        <f t="shared" si="13"/>
        <v>1508.96</v>
      </c>
      <c r="L80" s="111">
        <f t="shared" si="14"/>
        <v>1501.6</v>
      </c>
      <c r="M80" s="111">
        <f t="shared" si="15"/>
        <v>1508.96</v>
      </c>
    </row>
    <row r="81" spans="2:13" x14ac:dyDescent="0.45">
      <c r="B81" s="72" t="s">
        <v>108</v>
      </c>
      <c r="E81" s="76">
        <v>1190.48</v>
      </c>
      <c r="F81" s="76">
        <f t="shared" si="11"/>
        <v>1196.26</v>
      </c>
      <c r="G81" s="76">
        <f t="shared" si="12"/>
        <v>1196.26</v>
      </c>
      <c r="I81" s="2">
        <f t="shared" si="13"/>
        <v>1226.17</v>
      </c>
      <c r="L81" s="111">
        <f t="shared" si="14"/>
        <v>1220.19</v>
      </c>
      <c r="M81" s="111">
        <f t="shared" si="15"/>
        <v>1226.17</v>
      </c>
    </row>
    <row r="82" spans="2:13" x14ac:dyDescent="0.45">
      <c r="B82" s="72" t="s">
        <v>109</v>
      </c>
      <c r="E82" s="76">
        <v>1022.53</v>
      </c>
      <c r="F82" s="76">
        <f>ROUND(E82*1.035/1.03,2)+0.01</f>
        <v>1027.5</v>
      </c>
      <c r="G82" s="76">
        <f t="shared" si="12"/>
        <v>1027.5</v>
      </c>
      <c r="I82" s="2">
        <f t="shared" si="13"/>
        <v>1053.19</v>
      </c>
      <c r="L82" s="111">
        <f t="shared" si="14"/>
        <v>1048.04</v>
      </c>
      <c r="M82" s="111">
        <f t="shared" si="15"/>
        <v>1053.18</v>
      </c>
    </row>
    <row r="83" spans="2:13" x14ac:dyDescent="0.45">
      <c r="B83" s="72" t="s">
        <v>106</v>
      </c>
      <c r="E83" s="76">
        <v>639.72</v>
      </c>
      <c r="F83" s="76">
        <f t="shared" si="11"/>
        <v>642.83000000000004</v>
      </c>
      <c r="G83" s="76">
        <f t="shared" si="12"/>
        <v>642.83000000000004</v>
      </c>
      <c r="I83" s="2">
        <f t="shared" si="13"/>
        <v>658.9</v>
      </c>
      <c r="L83" s="111">
        <f t="shared" si="14"/>
        <v>655.69</v>
      </c>
      <c r="M83" s="111">
        <f t="shared" si="15"/>
        <v>658.9</v>
      </c>
    </row>
    <row r="84" spans="2:13" x14ac:dyDescent="0.45">
      <c r="B84" s="72" t="s">
        <v>107</v>
      </c>
      <c r="E84" s="76">
        <v>398.74</v>
      </c>
      <c r="F84" s="76">
        <f t="shared" si="11"/>
        <v>400.68</v>
      </c>
      <c r="G84" s="76">
        <f t="shared" si="12"/>
        <v>400.68</v>
      </c>
      <c r="I84" s="2">
        <f t="shared" si="13"/>
        <v>410.7</v>
      </c>
      <c r="L84" s="111">
        <f t="shared" si="14"/>
        <v>408.69</v>
      </c>
      <c r="M84" s="111">
        <f t="shared" si="15"/>
        <v>410.7</v>
      </c>
    </row>
    <row r="85" spans="2:13" x14ac:dyDescent="0.45">
      <c r="B85" s="72" t="s">
        <v>50</v>
      </c>
      <c r="E85" s="76">
        <v>524.51</v>
      </c>
      <c r="F85" s="76">
        <f>ROUND(E85*1.035/1.03,2)-0.01</f>
        <v>527.04999999999995</v>
      </c>
      <c r="G85" s="76">
        <f t="shared" si="12"/>
        <v>527.04999999999995</v>
      </c>
      <c r="I85" s="2">
        <f t="shared" si="13"/>
        <v>540.23</v>
      </c>
      <c r="L85" s="111">
        <f t="shared" si="14"/>
        <v>537.6</v>
      </c>
      <c r="M85" s="111">
        <f t="shared" si="15"/>
        <v>540.24</v>
      </c>
    </row>
    <row r="86" spans="2:13" x14ac:dyDescent="0.45">
      <c r="B86" s="72" t="s">
        <v>51</v>
      </c>
      <c r="E86" s="76">
        <f>E89</f>
        <v>291.67</v>
      </c>
      <c r="F86" s="76">
        <f t="shared" si="11"/>
        <v>293.08999999999997</v>
      </c>
      <c r="G86" s="76">
        <f t="shared" si="12"/>
        <v>293.08999999999997</v>
      </c>
      <c r="I86" s="2">
        <f t="shared" si="13"/>
        <v>300.41000000000003</v>
      </c>
      <c r="L86" s="111">
        <f t="shared" si="14"/>
        <v>298.95</v>
      </c>
      <c r="M86" s="111">
        <f t="shared" si="15"/>
        <v>300.42</v>
      </c>
    </row>
    <row r="87" spans="2:13" x14ac:dyDescent="0.45">
      <c r="B87" s="72" t="s">
        <v>104</v>
      </c>
      <c r="E87" s="76">
        <f>E85</f>
        <v>524.51</v>
      </c>
      <c r="F87" s="76">
        <f>ROUND(E87*1.035/1.03,2)-0.01</f>
        <v>527.04999999999995</v>
      </c>
      <c r="G87" s="76">
        <f t="shared" si="12"/>
        <v>527.04999999999995</v>
      </c>
      <c r="I87" s="2">
        <f t="shared" si="13"/>
        <v>540.23</v>
      </c>
      <c r="L87" s="111">
        <f t="shared" si="14"/>
        <v>537.6</v>
      </c>
      <c r="M87" s="111">
        <f t="shared" si="15"/>
        <v>540.24</v>
      </c>
    </row>
    <row r="88" spans="2:13" x14ac:dyDescent="0.45">
      <c r="B88" s="72" t="s">
        <v>101</v>
      </c>
      <c r="E88" s="76">
        <v>699.75</v>
      </c>
      <c r="F88" s="76">
        <f t="shared" si="11"/>
        <v>703.15</v>
      </c>
      <c r="G88" s="76">
        <f t="shared" si="12"/>
        <v>703.15</v>
      </c>
      <c r="I88" s="2">
        <f t="shared" si="13"/>
        <v>720.73</v>
      </c>
      <c r="L88" s="111">
        <f t="shared" si="14"/>
        <v>717.21</v>
      </c>
      <c r="M88" s="111">
        <f t="shared" si="15"/>
        <v>720.73</v>
      </c>
    </row>
    <row r="89" spans="2:13" x14ac:dyDescent="0.45">
      <c r="B89" s="72" t="s">
        <v>102</v>
      </c>
      <c r="E89" s="76">
        <v>291.67</v>
      </c>
      <c r="F89" s="76">
        <f>ROUND(E89*1.035/1.03,2)-0.01</f>
        <v>293.08</v>
      </c>
      <c r="G89" s="76">
        <f t="shared" si="12"/>
        <v>293.08</v>
      </c>
      <c r="I89" s="2">
        <f t="shared" si="13"/>
        <v>300.41000000000003</v>
      </c>
      <c r="L89" s="111">
        <f t="shared" si="14"/>
        <v>298.95</v>
      </c>
      <c r="M89" s="111">
        <f t="shared" si="15"/>
        <v>300.42</v>
      </c>
    </row>
    <row r="90" spans="2:13" x14ac:dyDescent="0.45">
      <c r="B90" s="72" t="s">
        <v>103</v>
      </c>
      <c r="E90" s="76">
        <v>376.15</v>
      </c>
      <c r="F90" s="76">
        <f>ROUND(E90*1.035/1.03,2)-0.01</f>
        <v>377.97</v>
      </c>
      <c r="G90" s="76">
        <f t="shared" si="12"/>
        <v>377.97</v>
      </c>
      <c r="I90" s="2">
        <f t="shared" si="13"/>
        <v>387.42</v>
      </c>
      <c r="L90" s="111">
        <f t="shared" si="14"/>
        <v>385.54</v>
      </c>
      <c r="M90" s="111">
        <f t="shared" si="15"/>
        <v>387.43</v>
      </c>
    </row>
    <row r="91" spans="2:13" x14ac:dyDescent="0.45">
      <c r="B91" s="72" t="s">
        <v>53</v>
      </c>
      <c r="E91" s="76">
        <f>E98</f>
        <v>77.680000000000007</v>
      </c>
      <c r="F91" s="76">
        <f t="shared" si="11"/>
        <v>78.06</v>
      </c>
      <c r="G91" s="76">
        <f t="shared" si="12"/>
        <v>78.06</v>
      </c>
      <c r="I91" s="2">
        <f t="shared" si="13"/>
        <v>80.010000000000005</v>
      </c>
      <c r="L91" s="111">
        <f t="shared" si="14"/>
        <v>79.62</v>
      </c>
      <c r="M91" s="111">
        <f t="shared" si="15"/>
        <v>80.010000000000005</v>
      </c>
    </row>
    <row r="92" spans="2:13" x14ac:dyDescent="0.45">
      <c r="B92" s="72" t="s">
        <v>54</v>
      </c>
      <c r="E92" s="76">
        <f>E91</f>
        <v>77.680000000000007</v>
      </c>
      <c r="F92" s="76">
        <f t="shared" si="11"/>
        <v>78.06</v>
      </c>
      <c r="G92" s="76">
        <f t="shared" si="12"/>
        <v>78.06</v>
      </c>
      <c r="I92" s="2">
        <f t="shared" si="13"/>
        <v>80.010000000000005</v>
      </c>
      <c r="L92" s="111">
        <f t="shared" si="14"/>
        <v>79.62</v>
      </c>
      <c r="M92" s="111">
        <f t="shared" si="15"/>
        <v>80.010000000000005</v>
      </c>
    </row>
    <row r="93" spans="2:13" x14ac:dyDescent="0.45">
      <c r="B93" s="73" t="s">
        <v>75</v>
      </c>
      <c r="C93" s="73"/>
      <c r="D93" s="73"/>
      <c r="E93" s="77"/>
      <c r="F93" s="77"/>
      <c r="G93" s="76">
        <f t="shared" si="12"/>
        <v>0</v>
      </c>
      <c r="I93" s="2">
        <f t="shared" si="13"/>
        <v>0</v>
      </c>
      <c r="L93" s="78">
        <f t="shared" si="14"/>
        <v>0</v>
      </c>
      <c r="M93" s="78">
        <f t="shared" si="15"/>
        <v>0</v>
      </c>
    </row>
    <row r="94" spans="2:13" x14ac:dyDescent="0.45">
      <c r="B94" s="72" t="s">
        <v>76</v>
      </c>
      <c r="E94" s="76">
        <v>133.91999999999999</v>
      </c>
      <c r="F94" s="76">
        <f t="shared" si="11"/>
        <v>134.57</v>
      </c>
      <c r="G94" s="76">
        <f t="shared" si="12"/>
        <v>134.57</v>
      </c>
      <c r="I94" s="2">
        <f t="shared" si="13"/>
        <v>137.93</v>
      </c>
      <c r="L94" s="111">
        <f t="shared" si="14"/>
        <v>137.26</v>
      </c>
      <c r="M94" s="111">
        <f t="shared" si="15"/>
        <v>137.93</v>
      </c>
    </row>
    <row r="95" spans="2:13" ht="2.65" hidden="1" customHeight="1" x14ac:dyDescent="0.45">
      <c r="B95" s="72" t="s">
        <v>77</v>
      </c>
      <c r="E95" s="76"/>
      <c r="F95" s="76">
        <f t="shared" si="11"/>
        <v>0</v>
      </c>
      <c r="G95" s="76">
        <f t="shared" si="12"/>
        <v>0</v>
      </c>
      <c r="I95" s="2">
        <f t="shared" si="13"/>
        <v>0</v>
      </c>
      <c r="L95" s="111">
        <f t="shared" si="14"/>
        <v>0</v>
      </c>
      <c r="M95" s="111">
        <f t="shared" si="15"/>
        <v>0</v>
      </c>
    </row>
    <row r="96" spans="2:13" x14ac:dyDescent="0.45">
      <c r="B96" s="72" t="s">
        <v>105</v>
      </c>
      <c r="E96" s="76">
        <v>172.37</v>
      </c>
      <c r="F96" s="76">
        <f t="shared" si="11"/>
        <v>173.21</v>
      </c>
      <c r="G96" s="76">
        <f t="shared" si="12"/>
        <v>173.21</v>
      </c>
      <c r="I96" s="2">
        <f t="shared" si="13"/>
        <v>177.54</v>
      </c>
      <c r="L96" s="111">
        <f t="shared" si="14"/>
        <v>176.67</v>
      </c>
      <c r="M96" s="111">
        <f t="shared" si="15"/>
        <v>177.54</v>
      </c>
    </row>
    <row r="97" spans="1:13" x14ac:dyDescent="0.45">
      <c r="B97" s="72" t="s">
        <v>80</v>
      </c>
      <c r="E97" s="76">
        <v>112.25</v>
      </c>
      <c r="F97" s="76">
        <f t="shared" si="11"/>
        <v>112.79</v>
      </c>
      <c r="G97" s="76">
        <f t="shared" si="12"/>
        <v>112.79</v>
      </c>
      <c r="I97" s="2">
        <f t="shared" si="13"/>
        <v>115.61</v>
      </c>
      <c r="L97" s="111">
        <f t="shared" si="14"/>
        <v>115.05</v>
      </c>
      <c r="M97" s="111">
        <f t="shared" si="15"/>
        <v>115.61</v>
      </c>
    </row>
    <row r="98" spans="1:13" x14ac:dyDescent="0.45">
      <c r="B98" s="72" t="s">
        <v>78</v>
      </c>
      <c r="E98" s="76">
        <v>77.680000000000007</v>
      </c>
      <c r="F98" s="76">
        <f t="shared" si="11"/>
        <v>78.06</v>
      </c>
      <c r="G98" s="76">
        <f t="shared" si="12"/>
        <v>78.06</v>
      </c>
      <c r="I98" s="2">
        <f t="shared" si="13"/>
        <v>80.010000000000005</v>
      </c>
      <c r="L98" s="111">
        <f t="shared" si="14"/>
        <v>79.62</v>
      </c>
      <c r="M98" s="111">
        <f t="shared" si="15"/>
        <v>80.010000000000005</v>
      </c>
    </row>
    <row r="99" spans="1:13" x14ac:dyDescent="0.45">
      <c r="B99" s="72" t="s">
        <v>79</v>
      </c>
      <c r="E99" s="76">
        <v>77.680000000000007</v>
      </c>
      <c r="F99" s="76">
        <f t="shared" si="11"/>
        <v>78.06</v>
      </c>
      <c r="G99" s="76">
        <f t="shared" si="12"/>
        <v>78.06</v>
      </c>
      <c r="I99" s="2">
        <f t="shared" si="13"/>
        <v>80.010000000000005</v>
      </c>
      <c r="L99" s="111">
        <f t="shared" si="14"/>
        <v>79.62</v>
      </c>
      <c r="M99" s="111">
        <f t="shared" si="15"/>
        <v>80.010000000000005</v>
      </c>
    </row>
    <row r="100" spans="1:13" x14ac:dyDescent="0.45">
      <c r="B100" s="72" t="s">
        <v>81</v>
      </c>
      <c r="E100" s="76">
        <f>E97</f>
        <v>112.25</v>
      </c>
      <c r="F100" s="76">
        <f t="shared" si="11"/>
        <v>112.79</v>
      </c>
      <c r="G100" s="76">
        <f t="shared" si="12"/>
        <v>112.79</v>
      </c>
      <c r="I100" s="2">
        <f t="shared" si="13"/>
        <v>115.61</v>
      </c>
      <c r="L100" s="111">
        <f t="shared" si="14"/>
        <v>115.05</v>
      </c>
      <c r="M100" s="111">
        <f t="shared" si="15"/>
        <v>115.61</v>
      </c>
    </row>
    <row r="101" spans="1:13" x14ac:dyDescent="0.45">
      <c r="B101" s="139" t="s">
        <v>55</v>
      </c>
      <c r="C101" s="137"/>
      <c r="D101" s="137"/>
      <c r="E101" s="138"/>
      <c r="F101" s="77"/>
      <c r="G101" s="76">
        <f t="shared" si="12"/>
        <v>0</v>
      </c>
      <c r="H101" s="123"/>
      <c r="I101" s="123">
        <f t="shared" si="13"/>
        <v>0</v>
      </c>
      <c r="J101" s="123"/>
      <c r="K101" s="123"/>
      <c r="L101" s="125"/>
      <c r="M101" s="125">
        <f t="shared" si="15"/>
        <v>0</v>
      </c>
    </row>
    <row r="102" spans="1:13" x14ac:dyDescent="0.45">
      <c r="B102" s="126" t="s">
        <v>116</v>
      </c>
      <c r="C102" s="123"/>
      <c r="D102" s="123"/>
      <c r="E102" s="124">
        <v>33.85</v>
      </c>
      <c r="F102" s="76">
        <f>ROUND(E102*1.035/1.03,2)+0.03</f>
        <v>34.04</v>
      </c>
      <c r="G102" s="76">
        <f t="shared" si="12"/>
        <v>34.04</v>
      </c>
      <c r="H102" s="123"/>
      <c r="I102" s="123">
        <f t="shared" si="13"/>
        <v>34.86</v>
      </c>
      <c r="J102" s="123"/>
      <c r="K102" s="123"/>
      <c r="L102" s="125">
        <f t="shared" si="14"/>
        <v>34.69</v>
      </c>
      <c r="M102" s="125">
        <f t="shared" si="15"/>
        <v>34.86</v>
      </c>
    </row>
    <row r="103" spans="1:13" x14ac:dyDescent="0.45">
      <c r="B103" s="126" t="s">
        <v>56</v>
      </c>
      <c r="C103" s="123"/>
      <c r="D103" s="123"/>
      <c r="E103" s="124">
        <f>ROUND(ROUND(45.74/1.025,2)*1.03,2)</f>
        <v>45.96</v>
      </c>
      <c r="F103" s="76">
        <f>ROUND(E103*1.035/1.03,2)+0.05</f>
        <v>46.23</v>
      </c>
      <c r="G103" s="76">
        <f t="shared" si="12"/>
        <v>46.23</v>
      </c>
      <c r="H103" s="123"/>
      <c r="I103" s="123">
        <f t="shared" si="13"/>
        <v>47.33</v>
      </c>
      <c r="J103" s="123"/>
      <c r="K103" s="123"/>
      <c r="L103" s="125">
        <f t="shared" si="14"/>
        <v>47.1</v>
      </c>
      <c r="M103" s="125">
        <f t="shared" si="15"/>
        <v>47.33</v>
      </c>
    </row>
    <row r="104" spans="1:13" x14ac:dyDescent="0.45">
      <c r="B104" s="126" t="s">
        <v>57</v>
      </c>
      <c r="C104" s="123"/>
      <c r="D104" s="123"/>
      <c r="E104" s="124">
        <f>ROUND(ROUND(8.61/1.025,2)*1.03,2)</f>
        <v>8.65</v>
      </c>
      <c r="F104" s="76">
        <f t="shared" si="11"/>
        <v>8.69</v>
      </c>
      <c r="G104" s="76">
        <f t="shared" si="12"/>
        <v>8.69</v>
      </c>
      <c r="H104" s="123"/>
      <c r="I104" s="123">
        <f t="shared" si="13"/>
        <v>8.91</v>
      </c>
      <c r="J104" s="123"/>
      <c r="K104" s="123"/>
      <c r="L104" s="125">
        <f t="shared" si="14"/>
        <v>8.86</v>
      </c>
      <c r="M104" s="125">
        <f t="shared" si="15"/>
        <v>8.91</v>
      </c>
    </row>
    <row r="105" spans="1:13" x14ac:dyDescent="0.45">
      <c r="B105" s="127" t="s">
        <v>115</v>
      </c>
      <c r="C105" s="128"/>
      <c r="D105" s="129">
        <v>252.84</v>
      </c>
      <c r="E105" s="130">
        <f>20*E104+E103+E102</f>
        <v>252.81</v>
      </c>
      <c r="F105" s="130">
        <f>20*F104+F103+F102</f>
        <v>254.06999999999996</v>
      </c>
      <c r="G105" s="76">
        <f t="shared" si="12"/>
        <v>254.06999999999996</v>
      </c>
      <c r="H105" s="128"/>
      <c r="I105" s="128">
        <f t="shared" si="13"/>
        <v>260.39</v>
      </c>
      <c r="J105" s="128"/>
      <c r="K105" s="128"/>
      <c r="L105" s="131">
        <f t="shared" si="14"/>
        <v>259.12</v>
      </c>
      <c r="M105" s="131">
        <f t="shared" si="15"/>
        <v>260.39</v>
      </c>
    </row>
    <row r="106" spans="1:13" x14ac:dyDescent="0.45">
      <c r="B106" s="73" t="s">
        <v>58</v>
      </c>
      <c r="C106" s="73"/>
      <c r="D106" s="73"/>
      <c r="E106" s="77"/>
      <c r="F106" s="77"/>
      <c r="G106" s="76">
        <f t="shared" si="12"/>
        <v>0</v>
      </c>
      <c r="H106" s="110"/>
      <c r="I106" s="110">
        <f t="shared" si="13"/>
        <v>0</v>
      </c>
      <c r="J106" s="110"/>
      <c r="K106" s="110"/>
      <c r="L106" s="78">
        <f t="shared" si="14"/>
        <v>0</v>
      </c>
      <c r="M106" s="78">
        <f t="shared" si="15"/>
        <v>0</v>
      </c>
    </row>
    <row r="107" spans="1:13" x14ac:dyDescent="0.45">
      <c r="A107" s="72"/>
      <c r="B107" s="72" t="s">
        <v>59</v>
      </c>
      <c r="E107" s="76">
        <v>16.48</v>
      </c>
      <c r="F107" s="76">
        <f t="shared" si="11"/>
        <v>16.559999999999999</v>
      </c>
      <c r="G107" s="76">
        <f t="shared" si="12"/>
        <v>16.559999999999999</v>
      </c>
      <c r="I107" s="2">
        <f t="shared" si="13"/>
        <v>16.97</v>
      </c>
      <c r="L107" s="111">
        <f t="shared" si="14"/>
        <v>16.89</v>
      </c>
      <c r="M107" s="111">
        <f t="shared" si="15"/>
        <v>16.97</v>
      </c>
    </row>
    <row r="108" spans="1:13" x14ac:dyDescent="0.45">
      <c r="A108" s="72"/>
      <c r="B108" s="72" t="s">
        <v>60</v>
      </c>
      <c r="E108" s="76">
        <v>32.96</v>
      </c>
      <c r="F108" s="76">
        <f t="shared" si="11"/>
        <v>33.119999999999997</v>
      </c>
      <c r="G108" s="76">
        <f t="shared" si="12"/>
        <v>33.119999999999997</v>
      </c>
      <c r="I108" s="2">
        <f t="shared" si="13"/>
        <v>33.950000000000003</v>
      </c>
      <c r="L108" s="111">
        <f t="shared" si="14"/>
        <v>33.78</v>
      </c>
      <c r="M108" s="111">
        <f t="shared" si="15"/>
        <v>33.950000000000003</v>
      </c>
    </row>
    <row r="109" spans="1:13" x14ac:dyDescent="0.45">
      <c r="A109" s="72"/>
      <c r="B109" s="72" t="s">
        <v>61</v>
      </c>
      <c r="E109" s="76">
        <v>49.44</v>
      </c>
      <c r="F109" s="76">
        <f t="shared" si="11"/>
        <v>49.68</v>
      </c>
      <c r="G109" s="76">
        <f t="shared" si="12"/>
        <v>49.68</v>
      </c>
      <c r="I109" s="2">
        <f t="shared" si="13"/>
        <v>50.92</v>
      </c>
      <c r="L109" s="111">
        <f t="shared" si="14"/>
        <v>50.67</v>
      </c>
      <c r="M109" s="111">
        <f t="shared" si="15"/>
        <v>50.92</v>
      </c>
    </row>
    <row r="110" spans="1:13" x14ac:dyDescent="0.45">
      <c r="A110" s="72"/>
      <c r="B110" s="72" t="s">
        <v>62</v>
      </c>
      <c r="E110" s="76">
        <v>65.92</v>
      </c>
      <c r="F110" s="76">
        <f t="shared" si="11"/>
        <v>66.239999999999995</v>
      </c>
      <c r="G110" s="76">
        <f t="shared" si="12"/>
        <v>66.239999999999995</v>
      </c>
      <c r="I110" s="2">
        <f t="shared" si="13"/>
        <v>67.900000000000006</v>
      </c>
      <c r="L110" s="111">
        <f t="shared" si="14"/>
        <v>67.56</v>
      </c>
      <c r="M110" s="111">
        <f t="shared" si="15"/>
        <v>67.900000000000006</v>
      </c>
    </row>
    <row r="111" spans="1:13" x14ac:dyDescent="0.45">
      <c r="A111" s="72"/>
      <c r="B111" s="72" t="s">
        <v>63</v>
      </c>
      <c r="E111" s="76">
        <v>82.4</v>
      </c>
      <c r="F111" s="76">
        <f t="shared" si="11"/>
        <v>82.8</v>
      </c>
      <c r="G111" s="76">
        <f t="shared" si="12"/>
        <v>82.8</v>
      </c>
      <c r="I111" s="2">
        <f t="shared" si="13"/>
        <v>84.87</v>
      </c>
      <c r="L111" s="111">
        <f t="shared" si="14"/>
        <v>84.46</v>
      </c>
      <c r="M111" s="111">
        <f t="shared" si="15"/>
        <v>84.87</v>
      </c>
    </row>
    <row r="112" spans="1:13" x14ac:dyDescent="0.45">
      <c r="A112" s="72"/>
      <c r="B112" s="72" t="s">
        <v>64</v>
      </c>
      <c r="E112" s="76">
        <v>98.88</v>
      </c>
      <c r="F112" s="76">
        <f t="shared" si="11"/>
        <v>99.36</v>
      </c>
      <c r="G112" s="76">
        <f t="shared" si="12"/>
        <v>99.36</v>
      </c>
      <c r="I112" s="2">
        <f t="shared" si="13"/>
        <v>101.84</v>
      </c>
      <c r="L112" s="111">
        <f t="shared" si="14"/>
        <v>101.35</v>
      </c>
      <c r="M112" s="111">
        <f t="shared" si="15"/>
        <v>101.84</v>
      </c>
    </row>
    <row r="113" spans="1:13" x14ac:dyDescent="0.45">
      <c r="A113" s="72"/>
      <c r="B113" s="72" t="s">
        <v>65</v>
      </c>
      <c r="E113" s="76">
        <v>115.36</v>
      </c>
      <c r="F113" s="76">
        <f t="shared" si="11"/>
        <v>115.92</v>
      </c>
      <c r="G113" s="76">
        <f t="shared" si="12"/>
        <v>115.92</v>
      </c>
      <c r="I113" s="2">
        <f t="shared" si="13"/>
        <v>118.82</v>
      </c>
      <c r="L113" s="111">
        <f t="shared" si="14"/>
        <v>118.24</v>
      </c>
      <c r="M113" s="111">
        <f t="shared" si="15"/>
        <v>118.82</v>
      </c>
    </row>
    <row r="114" spans="1:13" x14ac:dyDescent="0.45">
      <c r="A114" s="72"/>
      <c r="B114" s="72" t="s">
        <v>66</v>
      </c>
      <c r="E114" s="76">
        <v>131.84</v>
      </c>
      <c r="F114" s="76">
        <f t="shared" si="11"/>
        <v>132.47999999999999</v>
      </c>
      <c r="G114" s="76">
        <f t="shared" si="12"/>
        <v>132.47999999999999</v>
      </c>
      <c r="I114" s="2">
        <f t="shared" si="13"/>
        <v>135.79</v>
      </c>
      <c r="L114" s="111">
        <f t="shared" si="14"/>
        <v>135.13</v>
      </c>
      <c r="M114" s="111">
        <f t="shared" si="15"/>
        <v>135.79</v>
      </c>
    </row>
    <row r="115" spans="1:13" x14ac:dyDescent="0.45">
      <c r="A115" s="72"/>
      <c r="B115" s="72" t="s">
        <v>67</v>
      </c>
      <c r="E115" s="76">
        <v>148.32</v>
      </c>
      <c r="F115" s="76">
        <f t="shared" si="11"/>
        <v>149.04</v>
      </c>
      <c r="G115" s="76">
        <f t="shared" si="12"/>
        <v>149.04</v>
      </c>
      <c r="I115" s="2">
        <f t="shared" si="13"/>
        <v>152.77000000000001</v>
      </c>
      <c r="L115" s="111">
        <f t="shared" si="14"/>
        <v>152.02000000000001</v>
      </c>
      <c r="M115" s="111">
        <f t="shared" si="15"/>
        <v>152.77000000000001</v>
      </c>
    </row>
    <row r="116" spans="1:13" x14ac:dyDescent="0.45">
      <c r="A116" s="72"/>
      <c r="B116" s="72" t="s">
        <v>68</v>
      </c>
      <c r="E116" s="76">
        <v>164.8</v>
      </c>
      <c r="F116" s="76">
        <f t="shared" si="11"/>
        <v>165.6</v>
      </c>
      <c r="G116" s="76">
        <f t="shared" si="12"/>
        <v>165.6</v>
      </c>
      <c r="I116" s="2">
        <f t="shared" si="13"/>
        <v>169.74</v>
      </c>
      <c r="L116" s="111">
        <f t="shared" si="14"/>
        <v>168.91</v>
      </c>
      <c r="M116" s="111">
        <f t="shared" si="15"/>
        <v>169.74</v>
      </c>
    </row>
    <row r="117" spans="1:13" x14ac:dyDescent="0.45">
      <c r="B117" s="73" t="s">
        <v>341</v>
      </c>
      <c r="C117" s="73"/>
      <c r="D117" s="73"/>
      <c r="E117" s="77"/>
      <c r="F117" s="77"/>
      <c r="G117" s="76">
        <f t="shared" si="12"/>
        <v>0</v>
      </c>
      <c r="L117" s="107"/>
      <c r="M117" s="107"/>
    </row>
    <row r="118" spans="1:13" x14ac:dyDescent="0.45">
      <c r="B118" s="72" t="s">
        <v>113</v>
      </c>
      <c r="E118" s="76"/>
      <c r="F118" s="76">
        <v>11.04</v>
      </c>
      <c r="G118" s="76">
        <f t="shared" si="12"/>
        <v>11.04</v>
      </c>
      <c r="L118" s="107"/>
      <c r="M118" s="107"/>
    </row>
    <row r="119" spans="1:13" x14ac:dyDescent="0.45">
      <c r="B119" s="72" t="s">
        <v>114</v>
      </c>
      <c r="E119" s="76"/>
      <c r="F119" s="76">
        <v>12.6</v>
      </c>
      <c r="G119" s="76">
        <f t="shared" si="12"/>
        <v>12.6</v>
      </c>
      <c r="L119" s="107"/>
      <c r="M119" s="107"/>
    </row>
    <row r="120" spans="1:13" x14ac:dyDescent="0.45">
      <c r="B120" s="73" t="s">
        <v>292</v>
      </c>
      <c r="C120" s="73"/>
      <c r="D120" s="73"/>
      <c r="E120" s="77"/>
      <c r="F120" s="77"/>
      <c r="G120" s="76">
        <f t="shared" si="12"/>
        <v>0</v>
      </c>
      <c r="L120" s="107"/>
      <c r="M120" s="107"/>
    </row>
    <row r="121" spans="1:13" x14ac:dyDescent="0.45">
      <c r="B121" s="72" t="s">
        <v>327</v>
      </c>
      <c r="C121" s="140" t="s">
        <v>343</v>
      </c>
      <c r="E121" s="79">
        <v>0.26</v>
      </c>
      <c r="F121" s="79">
        <v>0.26</v>
      </c>
      <c r="G121" s="76">
        <f t="shared" si="12"/>
        <v>0.26</v>
      </c>
      <c r="L121" s="107"/>
      <c r="M121" s="107"/>
    </row>
    <row r="122" spans="1:13" x14ac:dyDescent="0.45">
      <c r="B122" s="72" t="s">
        <v>328</v>
      </c>
      <c r="F122" s="79">
        <v>0.11</v>
      </c>
      <c r="L122" s="107"/>
      <c r="M122" s="107"/>
    </row>
    <row r="123" spans="1:13" x14ac:dyDescent="0.45">
      <c r="B123" s="73" t="s">
        <v>338</v>
      </c>
      <c r="C123" s="73"/>
      <c r="D123" s="73"/>
      <c r="E123" s="77"/>
      <c r="F123" s="77"/>
      <c r="L123" s="107"/>
      <c r="M123" s="107"/>
    </row>
    <row r="124" spans="1:13" x14ac:dyDescent="0.45">
      <c r="B124" s="2" t="s">
        <v>329</v>
      </c>
      <c r="F124" s="79">
        <v>64.73</v>
      </c>
      <c r="L124" s="107"/>
      <c r="M124" s="107"/>
    </row>
    <row r="125" spans="1:13" x14ac:dyDescent="0.45">
      <c r="B125" s="2" t="s">
        <v>330</v>
      </c>
      <c r="F125" s="79">
        <v>40.68</v>
      </c>
      <c r="L125" s="107"/>
      <c r="M125" s="107"/>
    </row>
    <row r="126" spans="1:13" x14ac:dyDescent="0.45">
      <c r="B126" s="2" t="s">
        <v>331</v>
      </c>
      <c r="F126" s="79">
        <v>105.39</v>
      </c>
      <c r="L126" s="107"/>
      <c r="M126" s="107"/>
    </row>
    <row r="127" spans="1:13" x14ac:dyDescent="0.45">
      <c r="B127" s="73" t="s">
        <v>339</v>
      </c>
      <c r="C127" s="73"/>
      <c r="D127" s="73"/>
      <c r="E127" s="77"/>
      <c r="F127" s="77"/>
      <c r="L127" s="107"/>
      <c r="M127" s="107"/>
    </row>
    <row r="128" spans="1:13" x14ac:dyDescent="0.45">
      <c r="B128" s="2" t="s">
        <v>332</v>
      </c>
      <c r="F128" s="79">
        <v>70.09</v>
      </c>
      <c r="L128" s="107"/>
      <c r="M128" s="107"/>
    </row>
    <row r="129" spans="1:13" x14ac:dyDescent="0.45">
      <c r="B129" s="2" t="s">
        <v>333</v>
      </c>
      <c r="F129" s="79">
        <v>45.58</v>
      </c>
      <c r="L129" s="107"/>
      <c r="M129" s="107"/>
    </row>
    <row r="130" spans="1:13" x14ac:dyDescent="0.45">
      <c r="B130" s="2" t="s">
        <v>334</v>
      </c>
      <c r="F130" s="79">
        <v>63.09</v>
      </c>
    </row>
    <row r="131" spans="1:13" x14ac:dyDescent="0.45">
      <c r="A131" s="71"/>
      <c r="B131" s="2" t="s">
        <v>335</v>
      </c>
      <c r="F131" s="79">
        <v>42.34</v>
      </c>
    </row>
    <row r="132" spans="1:13" x14ac:dyDescent="0.45">
      <c r="A132" s="71"/>
      <c r="B132" s="73" t="s">
        <v>340</v>
      </c>
      <c r="C132" s="73"/>
      <c r="D132" s="73"/>
      <c r="E132" s="77"/>
      <c r="F132" s="77"/>
    </row>
    <row r="133" spans="1:13" x14ac:dyDescent="0.45">
      <c r="A133" s="71"/>
      <c r="B133" s="2" t="s">
        <v>336</v>
      </c>
      <c r="F133" s="79">
        <v>35.049999999999997</v>
      </c>
    </row>
    <row r="134" spans="1:13" x14ac:dyDescent="0.45">
      <c r="A134" s="71"/>
      <c r="B134" s="2" t="s">
        <v>337</v>
      </c>
      <c r="F134" s="79">
        <v>21.05</v>
      </c>
    </row>
    <row r="135" spans="1:13" x14ac:dyDescent="0.45">
      <c r="A135" s="71"/>
      <c r="B135" s="73" t="s">
        <v>349</v>
      </c>
      <c r="C135" s="73"/>
      <c r="D135" s="73"/>
      <c r="E135" s="77"/>
      <c r="F135" s="77"/>
    </row>
    <row r="136" spans="1:13" x14ac:dyDescent="0.45">
      <c r="B136" s="2" t="s">
        <v>350</v>
      </c>
      <c r="F136" s="79">
        <v>362.25</v>
      </c>
    </row>
    <row r="137" spans="1:13" x14ac:dyDescent="0.45">
      <c r="B137" s="2" t="s">
        <v>351</v>
      </c>
      <c r="F137" s="79">
        <v>10</v>
      </c>
    </row>
    <row r="138" spans="1:13" x14ac:dyDescent="0.45">
      <c r="B138" s="2" t="s">
        <v>352</v>
      </c>
      <c r="F138" s="79">
        <v>30</v>
      </c>
    </row>
    <row r="139" spans="1:13" x14ac:dyDescent="0.45">
      <c r="B139" s="2" t="s">
        <v>353</v>
      </c>
      <c r="F139" s="79">
        <v>450</v>
      </c>
    </row>
    <row r="140" spans="1:13" x14ac:dyDescent="0.45">
      <c r="B140" s="73" t="s">
        <v>354</v>
      </c>
      <c r="C140" s="73"/>
      <c r="D140" s="73"/>
      <c r="E140" s="77"/>
      <c r="F140" s="77"/>
    </row>
    <row r="141" spans="1:13" x14ac:dyDescent="0.45">
      <c r="B141" s="2" t="s">
        <v>355</v>
      </c>
      <c r="F141" s="79">
        <v>68.12</v>
      </c>
    </row>
    <row r="142" spans="1:13" x14ac:dyDescent="0.45">
      <c r="B142" s="2" t="s">
        <v>356</v>
      </c>
      <c r="F142" s="79">
        <v>46.92</v>
      </c>
    </row>
    <row r="143" spans="1:13" x14ac:dyDescent="0.45">
      <c r="B143" s="73" t="s">
        <v>357</v>
      </c>
      <c r="C143" s="73"/>
      <c r="D143" s="73"/>
      <c r="E143" s="77"/>
      <c r="F143" s="77"/>
    </row>
    <row r="144" spans="1:13" x14ac:dyDescent="0.45">
      <c r="B144" s="2" t="s">
        <v>355</v>
      </c>
      <c r="F144" s="79">
        <v>63.95</v>
      </c>
    </row>
    <row r="145" spans="2:6" x14ac:dyDescent="0.45">
      <c r="B145" s="2" t="s">
        <v>358</v>
      </c>
      <c r="F145" s="79">
        <v>42.63</v>
      </c>
    </row>
    <row r="146" spans="2:6" x14ac:dyDescent="0.45">
      <c r="B146" s="73" t="s">
        <v>359</v>
      </c>
      <c r="C146" s="73"/>
      <c r="D146" s="73"/>
      <c r="E146" s="77"/>
      <c r="F146" s="77"/>
    </row>
    <row r="147" spans="2:6" x14ac:dyDescent="0.45">
      <c r="B147" s="2" t="s">
        <v>360</v>
      </c>
      <c r="F147" s="79">
        <v>48.67</v>
      </c>
    </row>
    <row r="148" spans="2:6" x14ac:dyDescent="0.45">
      <c r="B148" s="2" t="s">
        <v>364</v>
      </c>
      <c r="F148" s="79">
        <v>2.5</v>
      </c>
    </row>
    <row r="149" spans="2:6" x14ac:dyDescent="0.45">
      <c r="B149" s="2" t="s">
        <v>361</v>
      </c>
      <c r="F149" s="79">
        <v>150</v>
      </c>
    </row>
    <row r="150" spans="2:6" x14ac:dyDescent="0.45">
      <c r="B150" s="2" t="s">
        <v>362</v>
      </c>
      <c r="F150" s="79">
        <v>36.25</v>
      </c>
    </row>
    <row r="151" spans="2:6" x14ac:dyDescent="0.45">
      <c r="B151" s="2" t="s">
        <v>365</v>
      </c>
      <c r="F151" s="79">
        <v>2.5</v>
      </c>
    </row>
    <row r="152" spans="2:6" x14ac:dyDescent="0.45">
      <c r="B152" s="2" t="s">
        <v>363</v>
      </c>
      <c r="F152" s="79">
        <v>150</v>
      </c>
    </row>
    <row r="153" spans="2:6" x14ac:dyDescent="0.45">
      <c r="B153" s="73" t="s">
        <v>366</v>
      </c>
      <c r="C153" s="73"/>
      <c r="D153" s="73"/>
      <c r="E153" s="77"/>
      <c r="F153" s="77"/>
    </row>
    <row r="154" spans="2:6" x14ac:dyDescent="0.45">
      <c r="B154" s="2" t="s">
        <v>360</v>
      </c>
      <c r="F154" s="79">
        <v>48.67</v>
      </c>
    </row>
    <row r="155" spans="2:6" x14ac:dyDescent="0.45">
      <c r="B155" s="2" t="s">
        <v>364</v>
      </c>
      <c r="F155" s="79">
        <v>1</v>
      </c>
    </row>
    <row r="156" spans="2:6" x14ac:dyDescent="0.45">
      <c r="B156" s="2" t="s">
        <v>361</v>
      </c>
      <c r="F156" s="79">
        <v>150</v>
      </c>
    </row>
    <row r="157" spans="2:6" x14ac:dyDescent="0.45">
      <c r="B157" s="2" t="s">
        <v>362</v>
      </c>
      <c r="F157" s="79">
        <v>24.37</v>
      </c>
    </row>
    <row r="158" spans="2:6" x14ac:dyDescent="0.45">
      <c r="B158" s="2" t="s">
        <v>365</v>
      </c>
      <c r="F158" s="79">
        <v>1</v>
      </c>
    </row>
    <row r="159" spans="2:6" x14ac:dyDescent="0.45">
      <c r="B159" s="2" t="s">
        <v>363</v>
      </c>
      <c r="F159" s="79">
        <v>150</v>
      </c>
    </row>
    <row r="160" spans="2:6" x14ac:dyDescent="0.45">
      <c r="B160" s="73" t="s">
        <v>367</v>
      </c>
      <c r="C160" s="73"/>
      <c r="D160" s="73"/>
      <c r="E160" s="77"/>
      <c r="F160" s="77"/>
    </row>
    <row r="161" spans="2:6" x14ac:dyDescent="0.45">
      <c r="B161" s="2" t="s">
        <v>355</v>
      </c>
      <c r="F161" s="79">
        <v>68.12</v>
      </c>
    </row>
    <row r="162" spans="2:6" x14ac:dyDescent="0.45">
      <c r="B162" s="2" t="s">
        <v>356</v>
      </c>
      <c r="F162" s="79">
        <v>46.92</v>
      </c>
    </row>
    <row r="163" spans="2:6" x14ac:dyDescent="0.45">
      <c r="B163" s="73" t="s">
        <v>368</v>
      </c>
      <c r="C163" s="73"/>
      <c r="D163" s="73"/>
      <c r="E163" s="77"/>
      <c r="F163" s="77"/>
    </row>
    <row r="164" spans="2:6" x14ac:dyDescent="0.45">
      <c r="B164" s="2" t="s">
        <v>355</v>
      </c>
      <c r="F164" s="79">
        <v>68.12</v>
      </c>
    </row>
    <row r="165" spans="2:6" x14ac:dyDescent="0.45">
      <c r="B165" s="2" t="s">
        <v>356</v>
      </c>
      <c r="F165" s="79">
        <v>46.92</v>
      </c>
    </row>
    <row r="166" spans="2:6" x14ac:dyDescent="0.45">
      <c r="B166" s="73" t="s">
        <v>369</v>
      </c>
      <c r="C166" s="73"/>
      <c r="D166" s="73"/>
      <c r="E166" s="77"/>
      <c r="F166" s="77"/>
    </row>
    <row r="167" spans="2:6" x14ac:dyDescent="0.45">
      <c r="B167" s="2" t="s">
        <v>360</v>
      </c>
      <c r="F167" s="79">
        <v>48.67</v>
      </c>
    </row>
    <row r="168" spans="2:6" x14ac:dyDescent="0.45">
      <c r="B168" s="2" t="s">
        <v>364</v>
      </c>
      <c r="F168" s="79">
        <v>2.5</v>
      </c>
    </row>
    <row r="169" spans="2:6" x14ac:dyDescent="0.45">
      <c r="B169" s="2" t="s">
        <v>361</v>
      </c>
      <c r="F169" s="79">
        <v>150</v>
      </c>
    </row>
    <row r="170" spans="2:6" x14ac:dyDescent="0.45">
      <c r="B170" s="2" t="s">
        <v>362</v>
      </c>
      <c r="F170" s="79">
        <v>36.25</v>
      </c>
    </row>
    <row r="171" spans="2:6" x14ac:dyDescent="0.45">
      <c r="B171" s="2" t="s">
        <v>365</v>
      </c>
      <c r="F171" s="79">
        <v>2.5</v>
      </c>
    </row>
    <row r="172" spans="2:6" x14ac:dyDescent="0.45">
      <c r="B172" s="2" t="s">
        <v>363</v>
      </c>
      <c r="F172" s="79">
        <v>150</v>
      </c>
    </row>
    <row r="173" spans="2:6" x14ac:dyDescent="0.45">
      <c r="B173" s="73" t="s">
        <v>370</v>
      </c>
      <c r="C173" s="73"/>
      <c r="D173" s="73"/>
      <c r="E173" s="77"/>
      <c r="F173" s="77"/>
    </row>
    <row r="174" spans="2:6" x14ac:dyDescent="0.45">
      <c r="B174" s="2" t="s">
        <v>371</v>
      </c>
      <c r="F174" s="79">
        <v>165.37</v>
      </c>
    </row>
  </sheetData>
  <sheetProtection algorithmName="SHA-512" hashValue="QHgy4b3R6NwjUGZyxdhQBqxxNdmc3/DyI5aed6UEU2My+nssaVZMwtH8Hg2UW2T/yh0gwcyXKsQrWYKxiDRKUA==" saltValue="8/qW5fAUMTrrpSGXbeqQRg==" spinCount="100000" sheet="1" objects="1" scenarios="1"/>
  <mergeCells count="1">
    <mergeCell ref="C2:G2"/>
  </mergeCells>
  <hyperlinks>
    <hyperlink ref="G1" location="Inicio!A1" display="Ir a inicio"/>
    <hyperlink ref="F1" location="Inicio!A1" display="Ir a inicio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9"/>
  <sheetViews>
    <sheetView showRowColHeaders="0" zoomScaleNormal="100" workbookViewId="0">
      <selection activeCell="B2" sqref="B2"/>
    </sheetView>
  </sheetViews>
  <sheetFormatPr baseColWidth="10" defaultRowHeight="14.25" x14ac:dyDescent="0.45"/>
  <cols>
    <col min="1" max="1" width="0.46484375" style="4" customWidth="1"/>
    <col min="2" max="2" width="55.86328125" style="4" customWidth="1"/>
    <col min="3" max="3" width="26.19921875" style="4" customWidth="1"/>
    <col min="4" max="4" width="2.19921875" style="4" customWidth="1"/>
    <col min="5" max="5" width="1.3984375" style="4" hidden="1" customWidth="1"/>
    <col min="6" max="6" width="0.33203125" style="4" hidden="1" customWidth="1"/>
    <col min="7" max="7" width="0.73046875" style="4" hidden="1" customWidth="1"/>
    <col min="8" max="8" width="2.06640625" style="24" customWidth="1"/>
    <col min="9" max="9" width="0.6640625" style="4" customWidth="1"/>
    <col min="10" max="10" width="10.6640625" style="4"/>
    <col min="11" max="11" width="41.33203125" style="4" customWidth="1"/>
    <col min="12" max="12" width="17.73046875" style="4" customWidth="1"/>
    <col min="13" max="13" width="17.9296875" style="4" customWidth="1"/>
    <col min="14" max="14" width="5.3984375" style="4" customWidth="1"/>
    <col min="15" max="15" width="4.73046875" style="4" customWidth="1"/>
    <col min="16" max="16384" width="10.6640625" style="4"/>
  </cols>
  <sheetData>
    <row r="1" spans="1:29" ht="118.5" customHeight="1" thickBot="1" x14ac:dyDescent="0.5">
      <c r="B1" s="1"/>
      <c r="C1"/>
      <c r="O1"/>
    </row>
    <row r="2" spans="1:29" ht="19.149999999999999" customHeight="1" thickBot="1" x14ac:dyDescent="0.5">
      <c r="B2" s="96" t="s">
        <v>293</v>
      </c>
      <c r="L2" s="33" t="s">
        <v>241</v>
      </c>
      <c r="M2" s="34" t="s">
        <v>172</v>
      </c>
      <c r="Q2" s="24"/>
      <c r="R2" s="24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8.25" customHeight="1" thickBot="1" x14ac:dyDescent="0.7">
      <c r="B3" s="158" t="s">
        <v>240</v>
      </c>
      <c r="C3" s="159"/>
      <c r="J3" s="160" t="s">
        <v>227</v>
      </c>
      <c r="K3" s="161"/>
      <c r="L3" s="83">
        <f>L4-SUM(L29:L33)</f>
        <v>1894.854098372761</v>
      </c>
      <c r="M3" s="83">
        <f>M4-SUM(M29:M33)</f>
        <v>1832.0877207634351</v>
      </c>
      <c r="Q3" s="24"/>
      <c r="R3" s="24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8.399999999999999" customHeight="1" thickBot="1" x14ac:dyDescent="0.5">
      <c r="B4" s="26" t="s">
        <v>274</v>
      </c>
      <c r="C4" s="49">
        <v>100</v>
      </c>
      <c r="D4" s="36" t="s">
        <v>140</v>
      </c>
      <c r="J4" s="162" t="s">
        <v>121</v>
      </c>
      <c r="K4" s="163"/>
      <c r="L4" s="175">
        <f>SUM(L6:L26)</f>
        <v>2531.0500000000002</v>
      </c>
      <c r="M4" s="175">
        <f>SUM(M6:M26)</f>
        <v>2226.5699999999997</v>
      </c>
      <c r="Q4" s="24"/>
      <c r="R4" s="24"/>
      <c r="S4" s="5"/>
      <c r="T4" s="5" t="s">
        <v>122</v>
      </c>
      <c r="U4" s="5"/>
      <c r="V4" s="5">
        <f>$C$6*Datos!G15</f>
        <v>0</v>
      </c>
      <c r="W4" s="5">
        <f>$C$6*Datos!G16</f>
        <v>0</v>
      </c>
      <c r="X4" s="5"/>
      <c r="Y4" s="5"/>
      <c r="Z4" s="5"/>
      <c r="AA4" s="5"/>
      <c r="AB4" s="5"/>
      <c r="AC4" s="5"/>
    </row>
    <row r="5" spans="1:29" ht="18.399999999999999" customHeight="1" thickBot="1" x14ac:dyDescent="0.5">
      <c r="B5" s="26" t="s">
        <v>163</v>
      </c>
      <c r="C5" s="48"/>
      <c r="D5" s="5"/>
      <c r="E5" s="5"/>
      <c r="F5" s="5"/>
      <c r="G5" s="5"/>
      <c r="J5" s="164"/>
      <c r="K5" s="165"/>
      <c r="L5" s="176"/>
      <c r="M5" s="176"/>
      <c r="Q5" s="24"/>
      <c r="R5" s="24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x14ac:dyDescent="0.45">
      <c r="B6" s="6" t="str">
        <f>T4</f>
        <v>Trienios A1</v>
      </c>
      <c r="C6" s="17">
        <v>0</v>
      </c>
      <c r="D6" s="5"/>
      <c r="E6" s="5"/>
      <c r="F6" s="5"/>
      <c r="G6" s="5"/>
      <c r="J6" s="51" t="s">
        <v>118</v>
      </c>
      <c r="K6" s="143"/>
      <c r="L6" s="52">
        <f>ROUND((C4/100)*Datos!G6,2)</f>
        <v>1124.8499999999999</v>
      </c>
      <c r="M6" s="142">
        <f>ROUND((C4/100)*Datos!G7,2)</f>
        <v>820.37</v>
      </c>
      <c r="Q6" s="24"/>
      <c r="R6" s="24"/>
      <c r="S6" s="5"/>
      <c r="T6" s="5" t="s">
        <v>123</v>
      </c>
      <c r="U6" s="5"/>
      <c r="V6" s="5">
        <f>$C$7*Datos!G17</f>
        <v>0</v>
      </c>
      <c r="W6" s="5">
        <f>$C$7*Datos!G18</f>
        <v>0</v>
      </c>
      <c r="X6" s="5"/>
      <c r="Y6" s="5"/>
      <c r="Z6" s="5"/>
      <c r="AA6" s="5"/>
      <c r="AB6" s="5"/>
      <c r="AC6" s="5"/>
    </row>
    <row r="7" spans="1:29" x14ac:dyDescent="0.45">
      <c r="B7" s="8" t="str">
        <f t="shared" ref="B7:B10" si="0">T6</f>
        <v>Trienios A2</v>
      </c>
      <c r="C7" s="18">
        <v>0</v>
      </c>
      <c r="D7" s="5"/>
      <c r="E7" s="5"/>
      <c r="F7" s="5"/>
      <c r="G7" s="5"/>
      <c r="I7" s="5"/>
      <c r="J7" s="9" t="s">
        <v>119</v>
      </c>
      <c r="K7" s="46"/>
      <c r="L7" s="22">
        <f>ROUND(($C$4/100)*Datos!G10,2)</f>
        <v>555.25</v>
      </c>
      <c r="M7" s="11">
        <f>L7</f>
        <v>555.25</v>
      </c>
      <c r="Q7" s="24"/>
      <c r="R7" s="24"/>
      <c r="S7" s="5"/>
      <c r="T7" s="5" t="s">
        <v>124</v>
      </c>
      <c r="U7" s="5"/>
      <c r="V7" s="5">
        <f>$C$8*Datos!G19</f>
        <v>0</v>
      </c>
      <c r="W7" s="5">
        <f>$C$8*Datos!G20</f>
        <v>0</v>
      </c>
      <c r="X7" s="5"/>
      <c r="Y7" s="5"/>
      <c r="Z7" s="5"/>
      <c r="AA7" s="5"/>
      <c r="AB7" s="5"/>
      <c r="AC7" s="5"/>
    </row>
    <row r="8" spans="1:29" x14ac:dyDescent="0.45">
      <c r="B8" s="8" t="str">
        <f t="shared" si="0"/>
        <v>Trienios C1</v>
      </c>
      <c r="C8" s="18">
        <v>0</v>
      </c>
      <c r="D8" s="5"/>
      <c r="E8" s="5"/>
      <c r="F8" s="5"/>
      <c r="G8" s="5"/>
      <c r="I8" s="5"/>
      <c r="J8" s="9" t="s">
        <v>120</v>
      </c>
      <c r="K8" s="46"/>
      <c r="L8" s="22">
        <f>ROUND(($C$4/100)*Datos!G14,2)</f>
        <v>850.95</v>
      </c>
      <c r="M8" s="11">
        <f>L8</f>
        <v>850.95</v>
      </c>
      <c r="Q8" s="24"/>
      <c r="R8" s="24"/>
      <c r="S8" s="5"/>
      <c r="T8" s="5" t="s">
        <v>125</v>
      </c>
      <c r="U8" s="5"/>
      <c r="V8" s="5">
        <f>$C$9*Datos!G21</f>
        <v>0</v>
      </c>
      <c r="W8" s="5">
        <f>$C$9*Datos!G22</f>
        <v>0</v>
      </c>
      <c r="X8" s="5"/>
      <c r="Y8" s="5"/>
      <c r="Z8" s="5"/>
      <c r="AA8" s="5"/>
      <c r="AB8" s="5"/>
      <c r="AC8" s="5"/>
    </row>
    <row r="9" spans="1:29" x14ac:dyDescent="0.45">
      <c r="A9" s="5"/>
      <c r="B9" s="8" t="str">
        <f t="shared" si="0"/>
        <v>Trienios C2</v>
      </c>
      <c r="C9" s="18">
        <v>0</v>
      </c>
      <c r="D9" s="5"/>
      <c r="E9" s="5"/>
      <c r="F9" s="5"/>
      <c r="G9" s="5"/>
      <c r="I9" s="5"/>
      <c r="J9" s="9" t="s">
        <v>126</v>
      </c>
      <c r="K9" s="46"/>
      <c r="L9" s="22">
        <f>IF(SUM(C6:C10)&gt;0,ROUND(V11*C4/100,2),0)</f>
        <v>0</v>
      </c>
      <c r="M9" s="11">
        <f>W11</f>
        <v>0</v>
      </c>
      <c r="Q9" s="24"/>
      <c r="R9" s="24"/>
      <c r="S9" s="5"/>
      <c r="T9" s="5" t="s">
        <v>127</v>
      </c>
      <c r="U9" s="5"/>
      <c r="V9" s="5">
        <f>$C$10*Datos!G23</f>
        <v>0</v>
      </c>
      <c r="W9" s="5">
        <f>$C$10*Datos!G24</f>
        <v>0</v>
      </c>
      <c r="X9" s="5"/>
      <c r="Y9" s="5"/>
      <c r="Z9" s="5"/>
      <c r="AA9" s="5"/>
      <c r="AB9" s="5"/>
      <c r="AC9" s="5"/>
    </row>
    <row r="10" spans="1:29" ht="14.65" thickBot="1" x14ac:dyDescent="0.5">
      <c r="A10" s="5"/>
      <c r="B10" s="12" t="str">
        <f t="shared" si="0"/>
        <v>Trienios agrupaciones especiales</v>
      </c>
      <c r="C10" s="19">
        <v>0</v>
      </c>
      <c r="D10" s="5"/>
      <c r="E10" s="5"/>
      <c r="F10" s="5"/>
      <c r="G10" s="5"/>
      <c r="I10" s="5"/>
      <c r="J10" s="9" t="s">
        <v>153</v>
      </c>
      <c r="K10" s="46"/>
      <c r="L10" s="22">
        <f>IF(C11&gt;0,ROUND(N12*C4/100,2),0)</f>
        <v>0</v>
      </c>
      <c r="M10" s="11">
        <f>L10</f>
        <v>0</v>
      </c>
      <c r="Q10" s="24"/>
      <c r="R10" s="24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4.65" thickBot="1" x14ac:dyDescent="0.5">
      <c r="A11" s="5"/>
      <c r="B11" s="27" t="s">
        <v>129</v>
      </c>
      <c r="C11" s="20">
        <v>0</v>
      </c>
      <c r="D11" s="5" t="str">
        <f>IF(OR(C12=D13,C12=D17,C12=D18,C12=D19),D13,"")</f>
        <v/>
      </c>
      <c r="E11" s="5"/>
      <c r="F11" s="5"/>
      <c r="G11" s="5"/>
      <c r="I11" s="24"/>
      <c r="J11" s="9" t="s">
        <v>24</v>
      </c>
      <c r="K11" s="46"/>
      <c r="L11" s="22">
        <f>IF(C12=D13,ROUND(C4*MAX(E26:E32,G26:G32)/100,2),0)</f>
        <v>0</v>
      </c>
      <c r="M11" s="11">
        <f t="shared" ref="M11:M21" si="1">L11</f>
        <v>0</v>
      </c>
      <c r="Q11" s="24"/>
      <c r="R11" s="24"/>
      <c r="S11" s="5"/>
      <c r="T11" s="5" t="s">
        <v>128</v>
      </c>
      <c r="U11" s="5"/>
      <c r="V11" s="5">
        <f>SUM(V4:V9)</f>
        <v>0</v>
      </c>
      <c r="W11" s="5">
        <f>SUM(W4:W9)</f>
        <v>0</v>
      </c>
      <c r="X11" s="5"/>
      <c r="Y11" s="5"/>
      <c r="Z11" s="5"/>
      <c r="AA11" s="5"/>
      <c r="AB11" s="5"/>
      <c r="AC11" s="5"/>
    </row>
    <row r="12" spans="1:29" ht="14.65" thickBot="1" x14ac:dyDescent="0.5">
      <c r="A12" s="5"/>
      <c r="B12" s="27" t="s">
        <v>280</v>
      </c>
      <c r="C12" s="58" t="s">
        <v>141</v>
      </c>
      <c r="D12" s="5" t="s">
        <v>141</v>
      </c>
      <c r="E12" s="5"/>
      <c r="F12" s="5" t="s">
        <v>27</v>
      </c>
      <c r="G12" s="5" t="s">
        <v>136</v>
      </c>
      <c r="H12" s="5" t="s">
        <v>143</v>
      </c>
      <c r="I12" s="24"/>
      <c r="J12" s="9" t="s">
        <v>39</v>
      </c>
      <c r="K12" s="46"/>
      <c r="L12" s="22">
        <f>IF(C12=D15,ROUND(C4*MAX(F26:F31,H26:H31)/100,2),0)</f>
        <v>0</v>
      </c>
      <c r="M12" s="11">
        <f t="shared" si="1"/>
        <v>0</v>
      </c>
      <c r="N12" s="5">
        <f>IF(C11=1,Datos!J26,IF(C11=2,Datos!J27,IF(C11=3,Datos!J28,IF(C11=4,Datos!J29,IF(C11=5,Datos!J30,0)))))</f>
        <v>0</v>
      </c>
      <c r="Q12" s="24"/>
      <c r="R12" s="24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14.65" thickBot="1" x14ac:dyDescent="0.5">
      <c r="A13" s="5"/>
      <c r="B13" s="27" t="s">
        <v>130</v>
      </c>
      <c r="C13" s="20"/>
      <c r="D13" s="5" t="s">
        <v>132</v>
      </c>
      <c r="E13" s="5"/>
      <c r="F13" s="5" t="s">
        <v>28</v>
      </c>
      <c r="G13" s="5" t="s">
        <v>137</v>
      </c>
      <c r="H13" s="5" t="s">
        <v>144</v>
      </c>
      <c r="I13" s="24"/>
      <c r="J13" s="9" t="s">
        <v>40</v>
      </c>
      <c r="K13" s="46"/>
      <c r="L13" s="22">
        <f>IF(C12=D14,ROUND(C4*MAX(F26:F31,H26:H31)/100,2),0)</f>
        <v>0</v>
      </c>
      <c r="M13" s="11">
        <f t="shared" si="1"/>
        <v>0</v>
      </c>
      <c r="Q13" s="24"/>
      <c r="R13" s="24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4.65" thickBot="1" x14ac:dyDescent="0.5">
      <c r="A14" s="5"/>
      <c r="B14" s="27" t="s">
        <v>135</v>
      </c>
      <c r="C14" s="20" t="s">
        <v>139</v>
      </c>
      <c r="D14" s="5" t="s">
        <v>133</v>
      </c>
      <c r="E14" s="5"/>
      <c r="F14" s="5" t="s">
        <v>29</v>
      </c>
      <c r="G14" s="5" t="s">
        <v>138</v>
      </c>
      <c r="H14" s="5"/>
      <c r="I14" s="24"/>
      <c r="J14" s="9" t="s">
        <v>154</v>
      </c>
      <c r="K14" s="46"/>
      <c r="L14" s="22">
        <f>IF(C12=D16,ROUND(Datos!G77*Maestros!C4/100,2),0)</f>
        <v>0</v>
      </c>
      <c r="M14" s="11">
        <f t="shared" si="1"/>
        <v>0</v>
      </c>
      <c r="Q14" s="24"/>
      <c r="R14" s="24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4.65" thickBot="1" x14ac:dyDescent="0.5">
      <c r="A15" s="5"/>
      <c r="B15" s="27" t="s">
        <v>50</v>
      </c>
      <c r="C15" s="20" t="s">
        <v>144</v>
      </c>
      <c r="D15" s="5" t="s">
        <v>134</v>
      </c>
      <c r="E15" s="5"/>
      <c r="F15" s="5" t="s">
        <v>30</v>
      </c>
      <c r="G15" s="5" t="s">
        <v>139</v>
      </c>
      <c r="H15" s="5" t="s">
        <v>144</v>
      </c>
      <c r="I15" s="24"/>
      <c r="J15" s="9" t="str">
        <f>B15</f>
        <v>Jefatura de Residencia Tipo A</v>
      </c>
      <c r="K15" s="46"/>
      <c r="L15" s="22">
        <f>IF(C15="Sí",ROUND(Datos!G85*Maestros!C4/100,2),0)</f>
        <v>0</v>
      </c>
      <c r="M15" s="11">
        <f t="shared" si="1"/>
        <v>0</v>
      </c>
      <c r="Q15" s="24"/>
      <c r="R15" s="24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4.65" thickBot="1" x14ac:dyDescent="0.5">
      <c r="A16" s="5"/>
      <c r="B16" s="27" t="s">
        <v>51</v>
      </c>
      <c r="C16" s="20" t="s">
        <v>144</v>
      </c>
      <c r="D16" s="5" t="s">
        <v>142</v>
      </c>
      <c r="E16" s="5"/>
      <c r="F16" s="5" t="s">
        <v>31</v>
      </c>
      <c r="G16" s="5"/>
      <c r="H16" s="5" t="s">
        <v>145</v>
      </c>
      <c r="I16" s="24"/>
      <c r="J16" s="9" t="str">
        <f>B16</f>
        <v>Jefatura de Residencia Tipo B</v>
      </c>
      <c r="K16" s="46"/>
      <c r="L16" s="22">
        <f>IF(C16="Sí",ROUND(Datos!G86*Maestros!C4/100,2),0)</f>
        <v>0</v>
      </c>
      <c r="M16" s="11">
        <f t="shared" si="1"/>
        <v>0</v>
      </c>
      <c r="Q16" s="24"/>
      <c r="R16" s="24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4.65" thickBot="1" x14ac:dyDescent="0.5">
      <c r="A17" s="5"/>
      <c r="B17" s="27" t="s">
        <v>104</v>
      </c>
      <c r="C17" s="20" t="s">
        <v>144</v>
      </c>
      <c r="D17" s="5" t="s">
        <v>281</v>
      </c>
      <c r="E17" s="5"/>
      <c r="F17" s="5" t="s">
        <v>32</v>
      </c>
      <c r="G17" s="5"/>
      <c r="H17" s="5" t="s">
        <v>146</v>
      </c>
      <c r="I17" s="24"/>
      <c r="J17" s="9" t="str">
        <f>B17</f>
        <v>Jefatura de Residencia de CEE</v>
      </c>
      <c r="K17" s="46"/>
      <c r="L17" s="22">
        <f>IF(C17="Sí",ROUND(Datos!G87*Maestros!C4/100,2),0)</f>
        <v>0</v>
      </c>
      <c r="M17" s="11">
        <f t="shared" si="1"/>
        <v>0</v>
      </c>
      <c r="Q17" s="24"/>
      <c r="R17" s="24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14.65" thickBot="1" x14ac:dyDescent="0.5">
      <c r="A18" s="5"/>
      <c r="B18" s="27" t="s">
        <v>102</v>
      </c>
      <c r="C18" s="20" t="s">
        <v>144</v>
      </c>
      <c r="D18" s="5" t="s">
        <v>282</v>
      </c>
      <c r="E18" s="5"/>
      <c r="F18" s="5"/>
      <c r="G18" s="5"/>
      <c r="H18" s="5" t="s">
        <v>147</v>
      </c>
      <c r="I18" s="24"/>
      <c r="J18" s="9" t="str">
        <f>B18</f>
        <v>Coordinación Equipos de Atención Hospitalaria y Domiciliaria</v>
      </c>
      <c r="K18" s="46"/>
      <c r="L18" s="22">
        <f>IF(C18="Sí",ROUND(Datos!G89*Maestros!C4/100,2),0)</f>
        <v>0</v>
      </c>
      <c r="M18" s="11">
        <f t="shared" si="1"/>
        <v>0</v>
      </c>
      <c r="Q18" s="24"/>
      <c r="R18" s="24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14.65" thickBot="1" x14ac:dyDescent="0.5">
      <c r="A19" s="5"/>
      <c r="B19" s="27" t="s">
        <v>103</v>
      </c>
      <c r="C19" s="20" t="s">
        <v>144</v>
      </c>
      <c r="D19" s="5" t="s">
        <v>283</v>
      </c>
      <c r="E19" s="5"/>
      <c r="F19" s="5"/>
      <c r="G19" s="5"/>
      <c r="H19" s="5" t="s">
        <v>277</v>
      </c>
      <c r="I19" s="24"/>
      <c r="J19" s="9" t="str">
        <f>B19</f>
        <v>Coordinación Programa Recuperación Pueblos Abandonados</v>
      </c>
      <c r="K19" s="46"/>
      <c r="L19" s="22">
        <f>IF(C19="Sí",ROUND(Datos!G90*Maestros!C4/100,2),0)</f>
        <v>0</v>
      </c>
      <c r="M19" s="11">
        <f t="shared" si="1"/>
        <v>0</v>
      </c>
      <c r="Q19" s="24"/>
      <c r="R19" s="24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14.65" thickBot="1" x14ac:dyDescent="0.5">
      <c r="A20" s="5"/>
      <c r="B20" s="27" t="s">
        <v>54</v>
      </c>
      <c r="C20" s="20" t="s">
        <v>144</v>
      </c>
      <c r="D20" s="5">
        <f>IF(C12=D17,0.25,IF(C12=D18,0.4,IF(C12=D19,0.6,0)))</f>
        <v>0</v>
      </c>
      <c r="E20" s="5"/>
      <c r="F20" s="5"/>
      <c r="G20" s="5"/>
      <c r="H20" s="5" t="s">
        <v>346</v>
      </c>
      <c r="I20" s="24"/>
      <c r="J20" s="9" t="s">
        <v>155</v>
      </c>
      <c r="K20" s="46"/>
      <c r="L20" s="22">
        <f>IF(C21="En IES",ROUND(Datos!G94*Maestros!C4/100,2),0)</f>
        <v>0</v>
      </c>
      <c r="M20" s="11">
        <f t="shared" si="1"/>
        <v>0</v>
      </c>
      <c r="Q20" s="24"/>
      <c r="R20" s="24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14.65" thickBot="1" x14ac:dyDescent="0.5">
      <c r="A21" s="5"/>
      <c r="B21" s="27" t="s">
        <v>344</v>
      </c>
      <c r="C21" s="20" t="s">
        <v>144</v>
      </c>
      <c r="D21" s="5"/>
      <c r="E21" s="5"/>
      <c r="F21" s="5"/>
      <c r="G21" s="5"/>
      <c r="H21" s="5"/>
      <c r="I21" s="24"/>
      <c r="J21" s="9" t="s">
        <v>156</v>
      </c>
      <c r="K21" s="46"/>
      <c r="L21" s="22">
        <f>IF(C21="En CRA",ROUND(Datos!G98*Maestros!C4/100,2),0)</f>
        <v>0</v>
      </c>
      <c r="M21" s="11">
        <f t="shared" si="1"/>
        <v>0</v>
      </c>
      <c r="Q21" s="24"/>
      <c r="R21" s="24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14.65" thickBot="1" x14ac:dyDescent="0.5">
      <c r="A22" s="5"/>
      <c r="B22" s="27" t="s">
        <v>150</v>
      </c>
      <c r="C22" s="20" t="s">
        <v>144</v>
      </c>
      <c r="D22" s="5">
        <f>IF(C22="No",0,Datos!G102)</f>
        <v>0</v>
      </c>
      <c r="E22" s="5"/>
      <c r="F22" s="5"/>
      <c r="G22" s="5"/>
      <c r="H22" s="5"/>
      <c r="I22" s="24"/>
      <c r="J22" s="9" t="s">
        <v>157</v>
      </c>
      <c r="K22" s="46"/>
      <c r="L22" s="22">
        <f>IF(C21="En CEE",ROUND(Datos!G100*Maestros!C4/100,2),0)</f>
        <v>0</v>
      </c>
      <c r="M22" s="11">
        <f>L22</f>
        <v>0</v>
      </c>
      <c r="Q22" s="24"/>
      <c r="R22" s="24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14.65" thickBot="1" x14ac:dyDescent="0.5">
      <c r="A23" s="5"/>
      <c r="B23" s="15" t="s">
        <v>148</v>
      </c>
      <c r="C23" s="20" t="s">
        <v>144</v>
      </c>
      <c r="D23" s="5">
        <f>IF(AND(C22="Sí",C23="Sí"),Datos!G103,0)</f>
        <v>0</v>
      </c>
      <c r="E23" s="5"/>
      <c r="F23" s="5"/>
      <c r="G23" s="5"/>
      <c r="H23" s="5"/>
      <c r="I23" s="5"/>
      <c r="J23" s="9" t="s">
        <v>278</v>
      </c>
      <c r="K23" s="144"/>
      <c r="L23" s="22">
        <f>IF(C21=H19,ROUND(Datos!G97*Maestros!C4/100,2),0)</f>
        <v>0</v>
      </c>
      <c r="M23" s="11">
        <f t="shared" ref="M23:M25" si="2">L23</f>
        <v>0</v>
      </c>
      <c r="Q23" s="24"/>
      <c r="R23" s="24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4.65" thickBot="1" x14ac:dyDescent="0.5">
      <c r="A24" s="5"/>
      <c r="B24" s="14" t="s">
        <v>149</v>
      </c>
      <c r="C24" s="21">
        <v>0</v>
      </c>
      <c r="D24" s="5">
        <f>IF(C22="Sí",C24*Datos!G104,0)</f>
        <v>0</v>
      </c>
      <c r="E24" s="5"/>
      <c r="F24" s="5"/>
      <c r="G24" s="5"/>
      <c r="H24" s="5"/>
      <c r="I24" s="5"/>
      <c r="J24" s="9" t="s">
        <v>158</v>
      </c>
      <c r="K24" s="46"/>
      <c r="L24" s="22">
        <f>IF(C22="Sí",ROUND(C4*SUM(D22:D24)/100,2),0)</f>
        <v>0</v>
      </c>
      <c r="M24" s="11">
        <f t="shared" si="2"/>
        <v>0</v>
      </c>
      <c r="Q24" s="24"/>
      <c r="R24" s="24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14.65" thickBot="1" x14ac:dyDescent="0.5">
      <c r="A25" s="5"/>
      <c r="B25" s="27" t="s">
        <v>151</v>
      </c>
      <c r="C25" s="20" t="s">
        <v>144</v>
      </c>
      <c r="D25" s="5"/>
      <c r="E25" s="5" t="s">
        <v>131</v>
      </c>
      <c r="F25" s="5" t="s">
        <v>160</v>
      </c>
      <c r="G25" s="5" t="s">
        <v>161</v>
      </c>
      <c r="H25" s="5" t="s">
        <v>162</v>
      </c>
      <c r="I25" s="5"/>
      <c r="J25" s="9" t="s">
        <v>159</v>
      </c>
      <c r="K25" s="46"/>
      <c r="L25" s="22">
        <f>IF(C25="Sí",ROUND(C4*MIN(D26:D36)/100,2),0)</f>
        <v>0</v>
      </c>
      <c r="M25" s="11">
        <f t="shared" si="2"/>
        <v>0</v>
      </c>
      <c r="Q25" s="24"/>
      <c r="R25" s="24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14.65" thickBot="1" x14ac:dyDescent="0.5">
      <c r="A26" s="5"/>
      <c r="B26" s="15" t="s">
        <v>152</v>
      </c>
      <c r="C26" s="20">
        <v>0</v>
      </c>
      <c r="D26" s="5">
        <f>IF($C$26&lt;=50,Datos!G107,"")</f>
        <v>16.559999999999999</v>
      </c>
      <c r="E26" s="5" t="str">
        <f>IF(AND($D$11=$D$13,$C$14&lt;&gt;"",$C$14&lt;&gt;$G$12,$C$13=F12),Datos!G32,"")</f>
        <v/>
      </c>
      <c r="F26" s="5" t="str">
        <f>IF(AND(OR($C$12=$D$14,$C$12=$D$15),$C$14&lt;&gt;"",$C$14&lt;&gt;$G$12,$C$13=F12),Datos!G38,"")</f>
        <v/>
      </c>
      <c r="G26" s="5" t="str">
        <f>IF(AND($D$11=$D$13,$C$14="CRA",$C$13=F12),Datos!G48,"")</f>
        <v/>
      </c>
      <c r="H26" s="5" t="str">
        <f>IF(AND(OR($C$12=$D$14,$C$12=$D$15),$C$14="CRA",$G$12,$C$13=F12),Datos!G54,"")</f>
        <v/>
      </c>
      <c r="I26" s="5"/>
      <c r="J26" s="9" t="s">
        <v>279</v>
      </c>
      <c r="K26" s="46"/>
      <c r="L26" s="22">
        <f>IF(D20&gt;0,ROUND(C4*MAX(E26:E32,G26:G32)*D20/100,2),0)</f>
        <v>0</v>
      </c>
      <c r="M26" s="11">
        <f>L26</f>
        <v>0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14.65" thickBot="1" x14ac:dyDescent="0.5">
      <c r="A27" s="5"/>
      <c r="B27" s="105"/>
      <c r="C27" s="104"/>
      <c r="D27" s="5"/>
      <c r="E27" s="5"/>
      <c r="F27" s="5"/>
      <c r="G27" s="5"/>
      <c r="H27" s="5"/>
      <c r="I27" s="5"/>
      <c r="J27" s="16" t="s">
        <v>345</v>
      </c>
      <c r="K27" s="145"/>
      <c r="L27" s="23">
        <f>IF(C21=H20,ROUND(Datos!G96*Maestros!C4/100,2),0)</f>
        <v>0</v>
      </c>
      <c r="M27" s="11">
        <f>L27</f>
        <v>0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4.65" thickBot="1" x14ac:dyDescent="0.5">
      <c r="A28" s="5"/>
      <c r="B28" s="154" t="s">
        <v>239</v>
      </c>
      <c r="C28" s="155"/>
      <c r="D28" s="5">
        <f>IF($C$26&lt;=100,Datos!G108,"")</f>
        <v>33.119999999999997</v>
      </c>
      <c r="E28" s="5" t="str">
        <f>IF(AND($D$11=$D$13,$C$14&lt;&gt;"",$C$14&lt;&gt;$G$12,$C$13=F13),Datos!G33,"")</f>
        <v/>
      </c>
      <c r="F28" s="5" t="str">
        <f>IF(AND(OR($C$12=$D$14,$C$12=$D$15),$C$14&lt;&gt;"",$C$14&lt;&gt;$G$12,$C$13=F13),Datos!G39,"")</f>
        <v/>
      </c>
      <c r="G28" s="5" t="str">
        <f>IF(AND($D$11=$D$13,$C$14="CRA",$C$13=F13),Datos!G49,"")</f>
        <v/>
      </c>
      <c r="H28" s="24" t="str">
        <f>IF(AND(OR($C$12=$D$14,$C$12=$D$15),$C$14="CRA",$G$12,$C$13=F13),Datos!G55,"")</f>
        <v/>
      </c>
      <c r="I28" s="5"/>
      <c r="J28" s="64" t="s">
        <v>168</v>
      </c>
      <c r="K28" s="65"/>
      <c r="L28" s="66"/>
      <c r="M28" s="4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4.65" thickBot="1" x14ac:dyDescent="0.5">
      <c r="A29" s="5"/>
      <c r="B29" s="27" t="s">
        <v>164</v>
      </c>
      <c r="C29" s="20" t="s">
        <v>167</v>
      </c>
      <c r="D29" s="5">
        <f>IF($C$26&lt;=150,Datos!G109,"")</f>
        <v>49.68</v>
      </c>
      <c r="E29" s="5" t="str">
        <f>IF(AND($D$11=$D$13,$C$14&lt;&gt;"",$C$14&lt;&gt;$G$12,$C$13=F14),Datos!G34,"")</f>
        <v/>
      </c>
      <c r="F29" s="5" t="str">
        <f>IF(AND(OR($C$12=$D$14,$C$12=$D$15),$C$14&lt;&gt;"",$C$14&lt;&gt;$G$12,$C$13=F14),Datos!G40,"")</f>
        <v/>
      </c>
      <c r="G29" s="5" t="str">
        <f>IF(AND($D$11=$D$13,$C$14="CRA",$C$13=F14),Datos!G50,"")</f>
        <v/>
      </c>
      <c r="H29" s="24" t="str">
        <f>IF(AND(OR($C$12=$D$14,$C$12=$D$15),$C$14="CRA",$G$12,$C$13=F14),Datos!G56,"")</f>
        <v/>
      </c>
      <c r="I29" s="5"/>
      <c r="J29" s="9" t="s">
        <v>237</v>
      </c>
      <c r="K29" s="46"/>
      <c r="L29" s="22">
        <f>IF(OR(C29=A35,C29=A36),40.68*C4/100,0)</f>
        <v>0</v>
      </c>
      <c r="M29" s="56">
        <f>L29</f>
        <v>0</v>
      </c>
      <c r="P29" s="5"/>
      <c r="Q29" s="5"/>
      <c r="R29" s="5"/>
      <c r="S29" s="5"/>
      <c r="T29" s="5"/>
      <c r="U29" s="5"/>
      <c r="V29" s="5"/>
      <c r="W29" s="5"/>
    </row>
    <row r="30" spans="1:29" ht="14.65" thickBot="1" x14ac:dyDescent="0.5">
      <c r="A30" s="5"/>
      <c r="B30" s="27" t="str">
        <f>IF(C29=A35,"¿En qué año aprobaste la oposición?","")</f>
        <v/>
      </c>
      <c r="C30" s="20"/>
      <c r="D30" s="5">
        <f>IF($C$26&lt;=200,Datos!G110,"")</f>
        <v>66.239999999999995</v>
      </c>
      <c r="E30" s="5" t="str">
        <f>IF(AND($D$11=$D$13,$C$14&lt;&gt;"",$C$14&lt;&gt;$G$12,$C$13=F15),Datos!G35,"")</f>
        <v/>
      </c>
      <c r="F30" s="5" t="str">
        <f>IF(AND(OR($C$12=$D$14,$C$12=$D$15),$C$14&lt;&gt;"",$C$14&lt;&gt;$G$12,$C$13=F15),Datos!G41,"")</f>
        <v/>
      </c>
      <c r="G30" s="5" t="str">
        <f>IF(AND($D$11=$D$13,$C$14="CRA",$C$13=F15),Datos!G51,"")</f>
        <v/>
      </c>
      <c r="H30" s="24" t="str">
        <f>IF(AND(OR($C$12=$D$14,$C$12=$D$15),$C$14="CRA",$G$12,$C$13=F15),Datos!G57,"")</f>
        <v/>
      </c>
      <c r="I30" s="5"/>
      <c r="J30" s="9" t="s">
        <v>238</v>
      </c>
      <c r="K30" s="46"/>
      <c r="L30" s="22">
        <f>IF(AND(OR(C29=A35,C29=A36),C30&lt;2011),92.9*C4/100,0)</f>
        <v>0</v>
      </c>
      <c r="M30" s="56">
        <f>L30</f>
        <v>0</v>
      </c>
      <c r="P30" s="5"/>
      <c r="Q30" s="5"/>
      <c r="R30" s="5"/>
      <c r="S30" s="5"/>
      <c r="T30" s="5"/>
      <c r="U30" s="5"/>
      <c r="V30" s="5"/>
      <c r="W30" s="5"/>
    </row>
    <row r="31" spans="1:29" ht="14.65" thickBot="1" x14ac:dyDescent="0.5">
      <c r="A31" s="5"/>
      <c r="B31" s="166" t="s">
        <v>175</v>
      </c>
      <c r="C31" s="167"/>
      <c r="D31" s="5">
        <f>IF($C$26&lt;=250,Datos!G111,"")</f>
        <v>82.8</v>
      </c>
      <c r="E31" s="5" t="str">
        <f>IF(AND($D$11=$D$13,$C$14&lt;&gt;"",$C$14&lt;&gt;$G$12,$C$13=F16),Datos!G36,"")</f>
        <v/>
      </c>
      <c r="F31" s="5" t="str">
        <f>IF(AND(OR($C$12=$D$14,$C$12=$D$15),$C$14&lt;&gt;"",$C$14&lt;&gt;$G$12,$C$13=F16),Datos!G42,"")</f>
        <v/>
      </c>
      <c r="G31" s="5" t="str">
        <f>IF(AND($D$11=$D$13,$C$14="CRA",$C$13=F16),Datos!G52,"")</f>
        <v/>
      </c>
      <c r="H31" s="24" t="str">
        <f>IF(AND(OR($C$12=$D$14,$C$12=$D$15),$C$14="CRA",$G$12,$C$13=F16),Datos!G58,"")</f>
        <v/>
      </c>
      <c r="I31" s="5"/>
      <c r="J31" s="9" t="s">
        <v>169</v>
      </c>
      <c r="K31" s="46"/>
      <c r="L31" s="22">
        <f>IF(OR(C29=A36,AND(C29=A35,C30&gt;=2011)),(L4+(M4/6))*L69,0)</f>
        <v>0</v>
      </c>
      <c r="M31" s="11">
        <v>0</v>
      </c>
      <c r="O31" s="5"/>
      <c r="P31" s="5"/>
      <c r="Q31" s="5"/>
      <c r="R31" s="5"/>
      <c r="S31" s="5"/>
      <c r="T31" s="5"/>
      <c r="U31" s="5"/>
      <c r="V31" s="5"/>
      <c r="W31" s="5"/>
    </row>
    <row r="32" spans="1:29" ht="14.65" thickBot="1" x14ac:dyDescent="0.5">
      <c r="A32" s="5"/>
      <c r="B32" s="27" t="s">
        <v>177</v>
      </c>
      <c r="C32" s="20" t="s">
        <v>144</v>
      </c>
      <c r="D32" s="5">
        <f>IF($C$26&lt;=300,Datos!G112,"")</f>
        <v>99.36</v>
      </c>
      <c r="E32" s="5" t="str">
        <f>IF(AND($D$11=$D$13,$C$14&lt;&gt;"",$C$14&lt;&gt;$G$12,$C$13=F17),Datos!G37,"")</f>
        <v/>
      </c>
      <c r="F32" s="5"/>
      <c r="G32" s="5" t="str">
        <f>IF(AND($D$11=$D$13,$C$14="CRA",$C$13=F17),Datos!G53,"")</f>
        <v/>
      </c>
      <c r="I32" s="25"/>
      <c r="J32" s="9" t="s">
        <v>170</v>
      </c>
      <c r="K32" s="46"/>
      <c r="L32" s="53">
        <f>IF(C29=A37,L4*0.0647+M4*0.0647/6,0)</f>
        <v>187.76878149999999</v>
      </c>
      <c r="M32" s="11">
        <v>0</v>
      </c>
      <c r="O32" s="5" t="s">
        <v>182</v>
      </c>
      <c r="P32" s="5"/>
      <c r="Q32" s="5"/>
      <c r="R32" s="5"/>
      <c r="S32" s="5"/>
      <c r="T32" s="5"/>
      <c r="U32" s="5"/>
      <c r="V32" s="5"/>
      <c r="W32" s="5"/>
    </row>
    <row r="33" spans="1:23" ht="14.65" thickBot="1" x14ac:dyDescent="0.5">
      <c r="A33" s="5"/>
      <c r="B33" s="27" t="s">
        <v>197</v>
      </c>
      <c r="C33" s="151">
        <v>0</v>
      </c>
      <c r="D33" s="5">
        <f>IF($C$26&lt;=350,Datos!G113,"")</f>
        <v>115.92</v>
      </c>
      <c r="E33" s="5"/>
      <c r="F33" s="5" t="str">
        <f>IF(AND(OR($C$12=$D$14,$C$12=$D$15),$C$14&lt;&gt;"",$C$14&lt;&gt;$G$12,$C$13=F18),Datos!G44,"")</f>
        <v/>
      </c>
      <c r="G33" s="5" t="str">
        <f>IF(AND($D$11=$D$13,$C$14="CRA",$C$13=F18),Datos!G54,"")</f>
        <v/>
      </c>
      <c r="I33" s="25"/>
      <c r="J33" s="16" t="s">
        <v>171</v>
      </c>
      <c r="K33" s="55">
        <f>L62</f>
        <v>0.17717039178492688</v>
      </c>
      <c r="L33" s="54">
        <f>L4*K33</f>
        <v>448.42712012723922</v>
      </c>
      <c r="M33" s="57">
        <f>M4*K33</f>
        <v>394.48227923656458</v>
      </c>
      <c r="O33" s="5" t="s">
        <v>183</v>
      </c>
      <c r="P33" s="5">
        <v>2400</v>
      </c>
      <c r="Q33" s="5">
        <v>2400</v>
      </c>
      <c r="R33" s="5"/>
      <c r="S33" s="5"/>
      <c r="T33" s="5"/>
      <c r="U33" s="5"/>
      <c r="V33" s="5"/>
      <c r="W33" s="5"/>
    </row>
    <row r="34" spans="1:23" ht="14.65" thickBot="1" x14ac:dyDescent="0.5">
      <c r="A34" s="5"/>
      <c r="B34" s="27" t="s">
        <v>196</v>
      </c>
      <c r="C34" s="151">
        <v>0</v>
      </c>
      <c r="D34" s="5">
        <f>IF($C$26&lt;=450,Datos!G114,"")</f>
        <v>132.47999999999999</v>
      </c>
      <c r="E34" s="5"/>
      <c r="F34" s="5"/>
      <c r="G34" s="5"/>
      <c r="I34" s="25"/>
      <c r="J34" s="37"/>
      <c r="K34" s="37"/>
      <c r="L34" s="38"/>
      <c r="M34" s="37"/>
      <c r="O34" s="5" t="s">
        <v>184</v>
      </c>
      <c r="P34" s="5">
        <v>2700</v>
      </c>
      <c r="Q34" s="5">
        <f>Q33+P34</f>
        <v>5100</v>
      </c>
      <c r="R34" s="5"/>
      <c r="S34" s="5"/>
      <c r="T34" s="5"/>
      <c r="U34" s="5"/>
      <c r="V34" s="5"/>
      <c r="W34" s="5"/>
    </row>
    <row r="35" spans="1:23" ht="14.65" thickBot="1" x14ac:dyDescent="0.5">
      <c r="A35" s="5" t="s">
        <v>165</v>
      </c>
      <c r="B35" s="28" t="s">
        <v>180</v>
      </c>
      <c r="C35" s="20">
        <v>0</v>
      </c>
      <c r="D35" s="5">
        <f>IF($C$26&lt;=450,Datos!G115,"")</f>
        <v>149.04</v>
      </c>
      <c r="E35" s="5"/>
      <c r="F35" s="5"/>
      <c r="G35" s="5"/>
      <c r="I35" s="5"/>
      <c r="J35" s="85" t="s">
        <v>173</v>
      </c>
      <c r="K35" s="86"/>
      <c r="L35" s="90"/>
      <c r="O35" s="5" t="s">
        <v>185</v>
      </c>
      <c r="P35" s="5">
        <v>4000</v>
      </c>
      <c r="Q35" s="5">
        <f>Q34+P35</f>
        <v>9100</v>
      </c>
      <c r="R35" s="5"/>
      <c r="S35" s="5"/>
      <c r="T35" s="5"/>
      <c r="U35" s="5"/>
      <c r="V35" s="5"/>
      <c r="W35" s="5"/>
    </row>
    <row r="36" spans="1:23" ht="14.75" customHeight="1" thickBot="1" x14ac:dyDescent="0.5">
      <c r="A36" s="5" t="s">
        <v>166</v>
      </c>
      <c r="B36" s="27" t="s">
        <v>179</v>
      </c>
      <c r="C36" s="20">
        <v>0</v>
      </c>
      <c r="D36" s="5">
        <f>IF($C$26&lt;=1000050,Datos!G116,"")</f>
        <v>165.6</v>
      </c>
      <c r="E36" s="5"/>
      <c r="F36" s="5"/>
      <c r="G36" s="5"/>
      <c r="I36" s="5"/>
      <c r="J36" s="42" t="s">
        <v>174</v>
      </c>
      <c r="K36" s="43"/>
      <c r="L36" s="81">
        <f>L4*12+M4*2</f>
        <v>34825.740000000005</v>
      </c>
      <c r="M36" s="24"/>
      <c r="N36" s="24"/>
      <c r="O36" s="5" t="s">
        <v>186</v>
      </c>
      <c r="P36" s="5">
        <v>4500</v>
      </c>
      <c r="Q36" s="5"/>
      <c r="R36" s="5"/>
      <c r="S36" s="5"/>
      <c r="T36" s="5"/>
      <c r="U36" s="5"/>
      <c r="V36" s="5"/>
      <c r="W36" s="5"/>
    </row>
    <row r="37" spans="1:23" ht="14.75" customHeight="1" thickBot="1" x14ac:dyDescent="0.5">
      <c r="A37" s="5" t="s">
        <v>167</v>
      </c>
      <c r="B37" s="29" t="s">
        <v>202</v>
      </c>
      <c r="C37" s="20" t="s">
        <v>144</v>
      </c>
      <c r="D37" s="5" t="str">
        <f>IF(B69=A68,"Sí","No")</f>
        <v>No</v>
      </c>
      <c r="E37" s="5"/>
      <c r="F37" s="5"/>
      <c r="G37" s="5"/>
      <c r="I37" s="5"/>
      <c r="J37" s="9" t="s">
        <v>265</v>
      </c>
      <c r="K37" s="10"/>
      <c r="L37" s="11">
        <f>IF(AND(C47="Sí",L36&lt;33007.2),TRUNC(L36*0.02),0)</f>
        <v>0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4.75" customHeight="1" thickBot="1" x14ac:dyDescent="0.5">
      <c r="A38" s="5" t="s">
        <v>188</v>
      </c>
      <c r="B38" s="27" t="s">
        <v>187</v>
      </c>
      <c r="C38" s="20" t="s">
        <v>188</v>
      </c>
      <c r="D38" s="5"/>
      <c r="E38" s="5"/>
      <c r="F38" s="5"/>
      <c r="G38" s="5"/>
      <c r="I38" s="5"/>
      <c r="J38" s="9" t="s">
        <v>271</v>
      </c>
      <c r="K38" s="10"/>
      <c r="L38" s="11">
        <f>IF(L36-L39&lt;14047.5,6498,IF(L36-L39&lt;19747.5,6498-(1.14*(L36-L39-14047.5)),0))</f>
        <v>0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4.75" customHeight="1" thickBot="1" x14ac:dyDescent="0.5">
      <c r="A39" s="5" t="s">
        <v>190</v>
      </c>
      <c r="B39" s="29" t="s">
        <v>195</v>
      </c>
      <c r="C39" s="20" t="s">
        <v>144</v>
      </c>
      <c r="D39" s="5"/>
      <c r="E39" s="5"/>
      <c r="F39" s="5"/>
      <c r="G39" s="5"/>
      <c r="I39" s="5"/>
      <c r="J39" s="42" t="s">
        <v>242</v>
      </c>
      <c r="K39" s="43"/>
      <c r="L39" s="81">
        <f>SUM(L29:L32)*14+SUM(M29:M32)*2</f>
        <v>2628.762941</v>
      </c>
      <c r="M39" s="5"/>
      <c r="N39" s="5"/>
      <c r="O39" s="24"/>
      <c r="P39" s="5"/>
      <c r="Q39" s="5"/>
      <c r="R39" s="5"/>
      <c r="S39" s="5"/>
      <c r="T39" s="5"/>
      <c r="U39" s="5"/>
      <c r="V39" s="5"/>
      <c r="W39" s="5"/>
    </row>
    <row r="40" spans="1:23" ht="14.75" customHeight="1" thickBot="1" x14ac:dyDescent="0.5">
      <c r="A40" s="5" t="s">
        <v>189</v>
      </c>
      <c r="B40" s="27" t="s">
        <v>198</v>
      </c>
      <c r="C40" s="20">
        <v>0</v>
      </c>
      <c r="D40" s="5"/>
      <c r="E40" s="5"/>
      <c r="F40" s="5"/>
      <c r="G40" s="5"/>
      <c r="I40" s="5"/>
      <c r="J40" s="42" t="s">
        <v>247</v>
      </c>
      <c r="K40" s="43"/>
      <c r="L40" s="81">
        <f>C33+2000+M40</f>
        <v>2000</v>
      </c>
      <c r="M40" s="5">
        <f>IF(AND(C38=A41,C39="No"),3500,IF(OR(C38=A40,C38=A41),7750,0))</f>
        <v>0</v>
      </c>
      <c r="N40" s="5"/>
      <c r="O40" s="24"/>
      <c r="P40" s="5"/>
      <c r="Q40" s="5"/>
      <c r="R40" s="5"/>
      <c r="S40" s="5"/>
      <c r="T40" s="5"/>
      <c r="U40" s="5"/>
      <c r="V40" s="5"/>
      <c r="W40" s="5"/>
    </row>
    <row r="41" spans="1:23" ht="14.75" customHeight="1" x14ac:dyDescent="0.45">
      <c r="A41" s="5" t="s">
        <v>191</v>
      </c>
      <c r="B41" s="168" t="s">
        <v>213</v>
      </c>
      <c r="C41" s="170">
        <v>0</v>
      </c>
      <c r="D41" s="5"/>
      <c r="E41" s="5"/>
      <c r="F41" s="5"/>
      <c r="G41" s="5"/>
      <c r="I41" s="5"/>
      <c r="J41" s="42" t="s">
        <v>176</v>
      </c>
      <c r="K41" s="43"/>
      <c r="L41" s="81">
        <f>IF(C32="Sí",1150+5550,5550)</f>
        <v>5550</v>
      </c>
      <c r="M41" s="5"/>
      <c r="N41" s="5"/>
      <c r="O41" s="24"/>
      <c r="P41" s="5"/>
      <c r="Q41" s="5"/>
      <c r="R41" s="5"/>
      <c r="S41" s="5"/>
      <c r="T41" s="5"/>
      <c r="U41" s="5"/>
      <c r="V41" s="5"/>
      <c r="W41" s="5"/>
    </row>
    <row r="42" spans="1:23" ht="14.75" customHeight="1" x14ac:dyDescent="0.45">
      <c r="A42" s="5"/>
      <c r="B42" s="168"/>
      <c r="C42" s="171"/>
      <c r="D42" s="5"/>
      <c r="E42" s="5"/>
      <c r="F42" s="5"/>
      <c r="G42" s="5"/>
      <c r="I42" s="5"/>
      <c r="J42" s="42" t="s">
        <v>178</v>
      </c>
      <c r="K42" s="43"/>
      <c r="L42" s="81">
        <f>SUM(C72:C75)</f>
        <v>0</v>
      </c>
      <c r="M42" s="5"/>
      <c r="N42" s="5"/>
      <c r="O42" s="24"/>
      <c r="P42" s="5"/>
      <c r="Q42" s="5"/>
      <c r="R42" s="5"/>
      <c r="S42" s="5"/>
      <c r="T42" s="5"/>
      <c r="U42" s="5"/>
      <c r="V42" s="5"/>
      <c r="W42" s="5"/>
    </row>
    <row r="43" spans="1:23" ht="14.75" customHeight="1" thickBot="1" x14ac:dyDescent="0.5">
      <c r="A43" s="5"/>
      <c r="B43" s="169"/>
      <c r="C43" s="172"/>
      <c r="D43" s="24"/>
      <c r="E43" s="24"/>
      <c r="F43" s="24"/>
      <c r="G43" s="24"/>
      <c r="I43" s="5"/>
      <c r="J43" s="42" t="s">
        <v>181</v>
      </c>
      <c r="K43" s="43"/>
      <c r="L43" s="81">
        <f>IF(C37="no",M48/2+1400*C36,M48+2800*C36)</f>
        <v>0</v>
      </c>
      <c r="M43" s="5"/>
      <c r="N43" s="5"/>
      <c r="O43" s="24"/>
      <c r="P43" s="5"/>
      <c r="Q43" s="5"/>
      <c r="R43" s="5"/>
      <c r="S43" s="5"/>
      <c r="T43" s="5"/>
      <c r="U43" s="5"/>
      <c r="V43" s="5"/>
      <c r="W43" s="5"/>
    </row>
    <row r="44" spans="1:23" ht="14.75" customHeight="1" x14ac:dyDescent="0.45">
      <c r="A44" s="5"/>
      <c r="B44" s="173" t="s">
        <v>213</v>
      </c>
      <c r="C44" s="170">
        <v>0</v>
      </c>
      <c r="D44" s="24"/>
      <c r="E44" s="24"/>
      <c r="F44" s="24"/>
      <c r="G44" s="24"/>
      <c r="I44" s="5"/>
      <c r="J44" s="42" t="s">
        <v>192</v>
      </c>
      <c r="K44" s="43"/>
      <c r="L44" s="81">
        <f>IF(C38=A40,9000,IF(C38=A41,3000,0))</f>
        <v>0</v>
      </c>
      <c r="M44" s="5"/>
      <c r="N44" s="5"/>
      <c r="O44" s="24"/>
      <c r="P44" s="5"/>
      <c r="Q44" s="5"/>
      <c r="R44" s="5"/>
      <c r="S44" s="5"/>
      <c r="T44" s="5"/>
      <c r="U44" s="5"/>
      <c r="V44" s="5"/>
      <c r="W44" s="5"/>
    </row>
    <row r="45" spans="1:23" ht="14.75" customHeight="1" x14ac:dyDescent="0.45">
      <c r="A45" s="5"/>
      <c r="B45" s="168"/>
      <c r="C45" s="171"/>
      <c r="D45" s="24"/>
      <c r="E45" s="24"/>
      <c r="F45" s="24"/>
      <c r="G45" s="24"/>
      <c r="I45" s="5"/>
      <c r="J45" s="42" t="s">
        <v>193</v>
      </c>
      <c r="K45" s="43"/>
      <c r="L45" s="81">
        <f>SUM(C76:C79)</f>
        <v>0</v>
      </c>
      <c r="M45" s="5"/>
      <c r="N45" s="5"/>
      <c r="O45" s="24"/>
      <c r="P45" s="5"/>
      <c r="Q45" s="5"/>
      <c r="R45" s="5"/>
      <c r="S45" s="5"/>
      <c r="T45" s="5"/>
      <c r="U45" s="5"/>
      <c r="V45" s="5"/>
      <c r="W45" s="5"/>
    </row>
    <row r="46" spans="1:23" ht="14.75" customHeight="1" thickBot="1" x14ac:dyDescent="0.5">
      <c r="A46" s="5"/>
      <c r="B46" s="169"/>
      <c r="C46" s="172"/>
      <c r="D46" s="24"/>
      <c r="E46" s="24"/>
      <c r="F46" s="24"/>
      <c r="G46" s="24"/>
      <c r="I46" s="5"/>
      <c r="J46" s="42" t="s">
        <v>194</v>
      </c>
      <c r="K46" s="43"/>
      <c r="L46" s="81">
        <f>IF(C37="Sí",M50,M50/2)</f>
        <v>0</v>
      </c>
      <c r="M46" s="5"/>
      <c r="N46" s="5"/>
      <c r="O46" s="24"/>
      <c r="P46" s="5"/>
      <c r="Q46" s="5"/>
      <c r="R46" s="5"/>
      <c r="S46" s="5"/>
      <c r="T46" s="5"/>
      <c r="U46" s="5"/>
      <c r="V46" s="5"/>
      <c r="W46" s="5"/>
    </row>
    <row r="47" spans="1:23" ht="14.75" customHeight="1" thickBot="1" x14ac:dyDescent="0.5">
      <c r="A47" s="5"/>
      <c r="B47" s="27" t="s">
        <v>273</v>
      </c>
      <c r="C47" s="20" t="s">
        <v>144</v>
      </c>
      <c r="D47" s="24"/>
      <c r="E47" s="24"/>
      <c r="F47" s="24"/>
      <c r="G47" s="24"/>
      <c r="I47" s="5"/>
      <c r="J47" s="42" t="s">
        <v>212</v>
      </c>
      <c r="K47" s="43"/>
      <c r="L47" s="81">
        <f>IF(OR(C39="Sí",C38=A40),3000,0)</f>
        <v>0</v>
      </c>
      <c r="M47" s="5"/>
      <c r="N47" s="5"/>
      <c r="O47" s="24"/>
      <c r="P47" s="5"/>
      <c r="Q47" s="5"/>
      <c r="R47" s="5"/>
      <c r="S47" s="5"/>
      <c r="T47" s="5"/>
      <c r="U47" s="5"/>
      <c r="V47" s="5"/>
      <c r="W47" s="5"/>
    </row>
    <row r="48" spans="1:23" ht="14.75" customHeight="1" thickBot="1" x14ac:dyDescent="0.5">
      <c r="A48" s="5"/>
      <c r="B48" s="27" t="s">
        <v>266</v>
      </c>
      <c r="C48" s="149"/>
      <c r="D48" s="5"/>
      <c r="E48" s="5"/>
      <c r="F48" s="5"/>
      <c r="G48" s="5"/>
      <c r="I48" s="5"/>
      <c r="J48" s="9" t="s">
        <v>214</v>
      </c>
      <c r="K48" s="10"/>
      <c r="L48" s="11">
        <f>SUM(L41:L47)</f>
        <v>5550</v>
      </c>
      <c r="M48" s="5">
        <f>IF(C35=1,Q33,IF(C35=2,Q34,IF(C35=3,Q35,IF(C35&lt;1,0,Q35+4500*(C35-3)))))</f>
        <v>0</v>
      </c>
      <c r="N48" s="5"/>
      <c r="O48" s="24"/>
      <c r="P48" s="5"/>
      <c r="Q48" s="5"/>
      <c r="R48" s="5"/>
      <c r="S48" s="5"/>
      <c r="T48" s="5"/>
      <c r="U48" s="5"/>
      <c r="V48" s="5"/>
      <c r="W48" s="5"/>
    </row>
    <row r="49" spans="1:23" ht="14.75" customHeight="1" thickBot="1" x14ac:dyDescent="0.5">
      <c r="A49" s="5"/>
      <c r="B49" s="30" t="s">
        <v>199</v>
      </c>
      <c r="C49" s="141"/>
      <c r="D49" s="5"/>
      <c r="E49" s="5"/>
      <c r="F49" s="5"/>
      <c r="G49" s="5"/>
      <c r="I49" s="5"/>
      <c r="J49" s="9" t="s">
        <v>215</v>
      </c>
      <c r="K49" s="10"/>
      <c r="L49" s="11">
        <f>MAX(0,L36-L39-L40-L38)</f>
        <v>30196.977059000004</v>
      </c>
      <c r="M49" s="5"/>
      <c r="N49" s="5"/>
      <c r="O49" s="24"/>
      <c r="P49" s="5"/>
      <c r="Q49" s="5"/>
      <c r="R49" s="5"/>
      <c r="S49" s="5"/>
      <c r="T49" s="5"/>
      <c r="U49" s="5"/>
      <c r="V49" s="5"/>
      <c r="W49" s="5"/>
    </row>
    <row r="50" spans="1:23" ht="14.75" customHeight="1" thickBot="1" x14ac:dyDescent="0.5">
      <c r="A50" s="5"/>
      <c r="B50" s="30" t="s">
        <v>200</v>
      </c>
      <c r="C50" s="141" t="s">
        <v>188</v>
      </c>
      <c r="D50" s="5"/>
      <c r="E50" s="5"/>
      <c r="F50" s="5"/>
      <c r="G50" s="5"/>
      <c r="I50" s="5"/>
      <c r="J50" s="9" t="s">
        <v>216</v>
      </c>
      <c r="K50" s="10"/>
      <c r="L50" s="11">
        <f>IF(L48&gt;12450,0,MAX(0,MIN(12450,L49)-L48))</f>
        <v>6900</v>
      </c>
      <c r="M50" s="5">
        <f>C40*12000+C41*6000+C44*3000</f>
        <v>0</v>
      </c>
      <c r="N50" s="5"/>
      <c r="O50" s="24"/>
      <c r="P50" s="5"/>
      <c r="Q50" s="5"/>
      <c r="R50" s="5"/>
      <c r="S50" s="5"/>
      <c r="T50" s="5"/>
      <c r="U50" s="5"/>
      <c r="V50" s="5"/>
      <c r="W50" s="5"/>
    </row>
    <row r="51" spans="1:23" ht="14.75" customHeight="1" thickBot="1" x14ac:dyDescent="0.5">
      <c r="A51" s="5"/>
      <c r="B51" s="30" t="s">
        <v>207</v>
      </c>
      <c r="C51" s="20" t="s">
        <v>144</v>
      </c>
      <c r="D51" s="5"/>
      <c r="E51" s="5"/>
      <c r="F51" s="5"/>
      <c r="G51" s="5"/>
      <c r="I51" s="5"/>
      <c r="J51" s="9" t="s">
        <v>217</v>
      </c>
      <c r="K51" s="10"/>
      <c r="L51" s="11">
        <f>IF(IF(L48&gt;20200,0,IF(L49&gt;20200,MIN(20200-L48,20200-12450),MIN(L49-L48,L49-12450)))&lt;0,0,IF(L48&gt;20200,0,IF(L49&gt;20200,MIN(20200-L48,20200-12450),MIN(L49-L48,L49-12450))))</f>
        <v>7750</v>
      </c>
      <c r="M51" s="5"/>
      <c r="N51" s="5"/>
      <c r="O51" s="24"/>
      <c r="P51" s="5"/>
      <c r="Q51" s="5"/>
      <c r="R51" s="5"/>
      <c r="S51" s="5"/>
      <c r="T51" s="5"/>
      <c r="U51" s="5"/>
      <c r="V51" s="5"/>
      <c r="W51" s="5"/>
    </row>
    <row r="52" spans="1:23" ht="14.75" customHeight="1" thickBot="1" x14ac:dyDescent="0.5">
      <c r="A52" s="5"/>
      <c r="B52" s="31" t="s">
        <v>201</v>
      </c>
      <c r="C52" s="141"/>
      <c r="D52" s="5"/>
      <c r="E52" s="5" t="s">
        <v>31</v>
      </c>
      <c r="F52" s="5"/>
      <c r="G52" s="5"/>
      <c r="I52" s="5"/>
      <c r="J52" s="9" t="s">
        <v>218</v>
      </c>
      <c r="K52" s="10"/>
      <c r="L52" s="11">
        <f>IF(IF(L48&gt;35200,0,IF(L49&gt;35200,MIN(35200-L48,35200-20200),MIN(L49-L48,L49-20200)))&lt;0,0,IF(L48&gt;35200,0,IF(L49&gt;35200,MIN(35200-L48,35200-20200),MIN(L49-L48,L49-20200))))</f>
        <v>9996.9770590000044</v>
      </c>
      <c r="M52" s="5"/>
      <c r="N52" s="5"/>
      <c r="O52" s="24"/>
      <c r="P52" s="5"/>
      <c r="Q52" s="5"/>
      <c r="R52" s="5"/>
      <c r="S52" s="5"/>
      <c r="T52" s="5"/>
      <c r="U52" s="5"/>
      <c r="V52" s="5"/>
      <c r="W52" s="5"/>
    </row>
    <row r="53" spans="1:23" ht="14.75" customHeight="1" thickBot="1" x14ac:dyDescent="0.5">
      <c r="A53" s="5"/>
      <c r="B53" s="27" t="s">
        <v>267</v>
      </c>
      <c r="C53" s="149"/>
      <c r="D53" s="5"/>
      <c r="E53" s="5"/>
      <c r="F53" s="5"/>
      <c r="G53" s="5"/>
      <c r="I53" s="5"/>
      <c r="J53" s="9" t="s">
        <v>219</v>
      </c>
      <c r="K53" s="10"/>
      <c r="L53" s="11">
        <f>IF(IF(L48&gt;60000,0,IF(L49&gt;60000,MIN(35200-L48,60000-35200),MIN(L49-L48,L49-35200)))&lt;0,0,IF(L48&gt;60000,0,IF(L49&gt;60000,MIN(35200-L48,60000-35200),MIN(L49-L48,L49-35200))))</f>
        <v>0</v>
      </c>
      <c r="M53" s="5"/>
      <c r="N53" s="5"/>
      <c r="O53" s="24"/>
      <c r="P53" s="5"/>
      <c r="Q53" s="5"/>
      <c r="R53" s="5"/>
      <c r="S53" s="5"/>
      <c r="T53" s="5"/>
      <c r="U53" s="5"/>
      <c r="V53" s="5"/>
      <c r="W53" s="5"/>
    </row>
    <row r="54" spans="1:23" ht="14.75" customHeight="1" thickBot="1" x14ac:dyDescent="0.5">
      <c r="A54" s="5"/>
      <c r="B54" s="30" t="s">
        <v>199</v>
      </c>
      <c r="C54" s="141"/>
      <c r="D54" s="5"/>
      <c r="E54" s="5"/>
      <c r="F54" s="5"/>
      <c r="G54" s="5"/>
      <c r="I54" s="5"/>
      <c r="J54" s="9" t="s">
        <v>220</v>
      </c>
      <c r="K54" s="10"/>
      <c r="L54" s="11">
        <f>IF(IF(L48&gt;30000,0,IF(L49&gt;300000,MIN(60000-L48,300000-60000),MIN(L49-L48,L49-60000)))&lt;0,0,IF(L48&gt;30000,0,IF(L49&gt;300000,MIN(60000-L48,300000-60000),MIN(L49-L48,L49-60000))))</f>
        <v>0</v>
      </c>
      <c r="M54" s="5"/>
      <c r="N54" s="5"/>
      <c r="O54" s="24"/>
      <c r="P54" s="5"/>
      <c r="Q54" s="5"/>
      <c r="R54" s="5"/>
      <c r="S54" s="5"/>
      <c r="T54" s="5"/>
      <c r="U54" s="5"/>
      <c r="V54" s="5"/>
      <c r="W54" s="5"/>
    </row>
    <row r="55" spans="1:23" ht="14.75" customHeight="1" thickBot="1" x14ac:dyDescent="0.5">
      <c r="A55" s="5"/>
      <c r="B55" s="30" t="s">
        <v>200</v>
      </c>
      <c r="C55" s="141" t="s">
        <v>188</v>
      </c>
      <c r="D55" s="5"/>
      <c r="E55" s="5"/>
      <c r="F55" s="5"/>
      <c r="G55" s="5"/>
      <c r="I55" s="5"/>
      <c r="J55" s="9" t="s">
        <v>221</v>
      </c>
      <c r="K55" s="10"/>
      <c r="L55" s="11">
        <f>ROUND(L50*0.19,2)</f>
        <v>1311</v>
      </c>
      <c r="M55" s="5"/>
      <c r="N55" s="5"/>
      <c r="P55" s="5"/>
      <c r="Q55" s="5"/>
      <c r="R55" s="5"/>
      <c r="S55" s="5"/>
      <c r="T55" s="5"/>
      <c r="U55" s="5"/>
      <c r="V55" s="5"/>
      <c r="W55" s="5"/>
    </row>
    <row r="56" spans="1:23" ht="14.75" customHeight="1" thickBot="1" x14ac:dyDescent="0.5">
      <c r="A56" s="5"/>
      <c r="B56" s="30" t="s">
        <v>207</v>
      </c>
      <c r="C56" s="20" t="s">
        <v>144</v>
      </c>
      <c r="D56" s="5"/>
      <c r="E56" s="5"/>
      <c r="F56" s="5"/>
      <c r="G56" s="5"/>
      <c r="I56" s="5"/>
      <c r="J56" s="9" t="s">
        <v>222</v>
      </c>
      <c r="K56" s="10"/>
      <c r="L56" s="11">
        <f>ROUND(L51*0.24,2)</f>
        <v>1860</v>
      </c>
      <c r="M56" s="5"/>
      <c r="N56" s="5"/>
      <c r="P56" s="5"/>
      <c r="Q56" s="5"/>
      <c r="R56" s="5"/>
      <c r="S56" s="5"/>
      <c r="T56" s="5"/>
      <c r="U56" s="5"/>
      <c r="V56" s="5"/>
      <c r="W56" s="5"/>
    </row>
    <row r="57" spans="1:23" ht="14.75" customHeight="1" thickBot="1" x14ac:dyDescent="0.5">
      <c r="A57" s="5"/>
      <c r="B57" s="31" t="s">
        <v>201</v>
      </c>
      <c r="C57" s="141"/>
      <c r="D57" s="5"/>
      <c r="E57" s="5"/>
      <c r="F57" s="5"/>
      <c r="G57" s="5"/>
      <c r="I57" s="5"/>
      <c r="J57" s="9" t="s">
        <v>223</v>
      </c>
      <c r="K57" s="10"/>
      <c r="L57" s="11">
        <f>ROUND(L52*0.3,2)</f>
        <v>2999.09</v>
      </c>
      <c r="P57" s="5"/>
      <c r="Q57" s="5"/>
      <c r="R57" s="5"/>
      <c r="S57" s="5"/>
      <c r="T57" s="5"/>
      <c r="U57" s="5"/>
      <c r="V57" s="5"/>
      <c r="W57" s="5"/>
    </row>
    <row r="58" spans="1:23" ht="14.65" thickBot="1" x14ac:dyDescent="0.5">
      <c r="A58" s="5"/>
      <c r="B58" s="27" t="s">
        <v>268</v>
      </c>
      <c r="C58" s="149"/>
      <c r="D58" s="5"/>
      <c r="E58" s="5"/>
      <c r="F58" s="5"/>
      <c r="G58" s="5"/>
      <c r="I58" s="5"/>
      <c r="J58" s="9" t="s">
        <v>224</v>
      </c>
      <c r="K58" s="10"/>
      <c r="L58" s="11">
        <f>ROUND(L53*0.37,2)</f>
        <v>0</v>
      </c>
      <c r="P58" s="5"/>
      <c r="Q58" s="5"/>
      <c r="R58" s="5"/>
      <c r="S58" s="5"/>
      <c r="T58" s="5"/>
      <c r="U58" s="5"/>
      <c r="V58" s="5"/>
      <c r="W58" s="5"/>
    </row>
    <row r="59" spans="1:23" ht="14.65" thickBot="1" x14ac:dyDescent="0.5">
      <c r="A59" s="5"/>
      <c r="B59" s="30" t="s">
        <v>199</v>
      </c>
      <c r="C59" s="141"/>
      <c r="D59" s="5"/>
      <c r="E59" s="5"/>
      <c r="F59" s="5"/>
      <c r="G59" s="5"/>
      <c r="I59" s="5"/>
      <c r="J59" s="9" t="s">
        <v>225</v>
      </c>
      <c r="K59" s="10"/>
      <c r="L59" s="11">
        <f>ROUND(L54*0.45,2)</f>
        <v>0</v>
      </c>
      <c r="P59" s="5"/>
      <c r="Q59" s="5"/>
      <c r="R59" s="5"/>
      <c r="S59" s="5"/>
      <c r="T59" s="5"/>
      <c r="U59" s="5"/>
      <c r="V59" s="5"/>
      <c r="W59" s="5"/>
    </row>
    <row r="60" spans="1:23" ht="14.65" thickBot="1" x14ac:dyDescent="0.5">
      <c r="A60" s="5"/>
      <c r="B60" s="30" t="s">
        <v>200</v>
      </c>
      <c r="C60" s="141" t="s">
        <v>188</v>
      </c>
      <c r="D60" s="5"/>
      <c r="E60" s="5"/>
      <c r="F60" s="5"/>
      <c r="G60" s="5"/>
      <c r="I60" s="5"/>
      <c r="J60" s="9" t="s">
        <v>272</v>
      </c>
      <c r="K60" s="10"/>
      <c r="L60" s="56">
        <f>SUM(L55:L59)</f>
        <v>6170.09</v>
      </c>
      <c r="P60" s="5"/>
      <c r="Q60" s="5"/>
      <c r="R60" s="5"/>
      <c r="S60" s="5"/>
      <c r="T60" s="5"/>
      <c r="U60" s="5"/>
      <c r="V60" s="5"/>
      <c r="W60" s="5"/>
    </row>
    <row r="61" spans="1:23" ht="14.65" thickBot="1" x14ac:dyDescent="0.5">
      <c r="A61" s="5"/>
      <c r="B61" s="32" t="s">
        <v>207</v>
      </c>
      <c r="C61" s="20" t="s">
        <v>144</v>
      </c>
      <c r="D61" s="5"/>
      <c r="E61" s="5"/>
      <c r="F61" s="5"/>
      <c r="G61" s="5"/>
      <c r="I61" s="5"/>
      <c r="J61" s="9" t="s">
        <v>270</v>
      </c>
      <c r="K61" s="10"/>
      <c r="L61" s="56">
        <f>MAX(0,C131-L37)</f>
        <v>6170.0931177000011</v>
      </c>
    </row>
    <row r="62" spans="1:23" ht="14.65" thickBot="1" x14ac:dyDescent="0.5">
      <c r="A62" s="5"/>
      <c r="B62" s="31" t="s">
        <v>201</v>
      </c>
      <c r="C62" s="141"/>
      <c r="D62" s="5"/>
      <c r="E62" s="5"/>
      <c r="F62" s="5"/>
      <c r="G62" s="5"/>
      <c r="I62" s="5"/>
      <c r="J62" s="91" t="s">
        <v>226</v>
      </c>
      <c r="K62" s="92"/>
      <c r="L62" s="93">
        <f>IF(M62&lt;0.02,0.02,M62)</f>
        <v>0.17717039178492688</v>
      </c>
      <c r="M62" s="98">
        <f>IF(L61&lt;L60,L61/L36,L60/L36)</f>
        <v>0.17717039178492688</v>
      </c>
    </row>
    <row r="63" spans="1:23" ht="14.65" thickBot="1" x14ac:dyDescent="0.5">
      <c r="A63" s="5"/>
      <c r="B63" s="27" t="s">
        <v>269</v>
      </c>
      <c r="C63" s="149"/>
      <c r="D63" s="5"/>
      <c r="E63" s="5"/>
      <c r="F63" s="5"/>
      <c r="G63" s="5"/>
      <c r="I63" s="5"/>
    </row>
    <row r="64" spans="1:23" ht="14.65" thickBot="1" x14ac:dyDescent="0.5">
      <c r="A64" s="5"/>
      <c r="B64" s="30" t="s">
        <v>199</v>
      </c>
      <c r="C64" s="141"/>
      <c r="D64" s="5"/>
      <c r="E64" s="5"/>
      <c r="F64" s="5"/>
      <c r="G64" s="5"/>
      <c r="I64" s="5"/>
      <c r="J64" s="85" t="s">
        <v>228</v>
      </c>
      <c r="K64" s="88"/>
      <c r="L64" s="89"/>
    </row>
    <row r="65" spans="1:12" ht="14.65" thickBot="1" x14ac:dyDescent="0.5">
      <c r="A65" s="5"/>
      <c r="B65" s="30" t="s">
        <v>200</v>
      </c>
      <c r="C65" s="141" t="s">
        <v>188</v>
      </c>
      <c r="D65" s="5"/>
      <c r="E65" s="5"/>
      <c r="F65" s="5"/>
      <c r="G65" s="5"/>
      <c r="I65" s="5"/>
      <c r="J65" s="9" t="s">
        <v>230</v>
      </c>
      <c r="K65" s="7"/>
      <c r="L65" s="82">
        <v>4.7E-2</v>
      </c>
    </row>
    <row r="66" spans="1:12" ht="14.65" thickBot="1" x14ac:dyDescent="0.5">
      <c r="A66" s="5"/>
      <c r="B66" s="32" t="s">
        <v>207</v>
      </c>
      <c r="C66" s="20" t="s">
        <v>144</v>
      </c>
      <c r="D66" s="5"/>
      <c r="E66" s="5"/>
      <c r="F66" s="5"/>
      <c r="G66" s="5"/>
      <c r="I66" s="5"/>
      <c r="J66" s="9" t="s">
        <v>231</v>
      </c>
      <c r="K66" s="7"/>
      <c r="L66" s="82">
        <v>1.1999999999999999E-3</v>
      </c>
    </row>
    <row r="67" spans="1:12" ht="14.65" thickBot="1" x14ac:dyDescent="0.5">
      <c r="A67" s="5"/>
      <c r="B67" s="32" t="s">
        <v>201</v>
      </c>
      <c r="C67" s="141"/>
      <c r="D67" s="5"/>
      <c r="E67" s="5"/>
      <c r="F67" s="5"/>
      <c r="G67" s="5"/>
      <c r="I67" s="5"/>
      <c r="J67" s="9" t="s">
        <v>236</v>
      </c>
      <c r="K67" s="7"/>
      <c r="L67" s="82">
        <v>0.28299999999999997</v>
      </c>
    </row>
    <row r="68" spans="1:12" ht="14.65" thickBot="1" x14ac:dyDescent="0.5">
      <c r="A68" s="35" t="s">
        <v>246</v>
      </c>
      <c r="B68" s="28" t="s">
        <v>243</v>
      </c>
      <c r="C68" s="80">
        <f>IF(B69=A68,1,IF(B69=A69,2,IF(B69=A72,3,0)))</f>
        <v>3</v>
      </c>
      <c r="D68" s="5"/>
      <c r="E68" s="5"/>
      <c r="F68" s="5"/>
      <c r="G68" s="5"/>
      <c r="I68" s="5"/>
      <c r="J68" s="9" t="s">
        <v>235</v>
      </c>
      <c r="K68" s="7"/>
      <c r="L68" s="46">
        <v>1.0999999999999999E-2</v>
      </c>
    </row>
    <row r="69" spans="1:12" ht="14.75" customHeight="1" thickBot="1" x14ac:dyDescent="0.5">
      <c r="A69" s="35" t="s">
        <v>244</v>
      </c>
      <c r="B69" s="177" t="s">
        <v>245</v>
      </c>
      <c r="C69" s="178"/>
      <c r="D69" s="5"/>
      <c r="E69" s="5"/>
      <c r="F69" s="5"/>
      <c r="G69" s="5"/>
      <c r="I69" s="5"/>
      <c r="J69" s="91" t="s">
        <v>234</v>
      </c>
      <c r="K69" s="92"/>
      <c r="L69" s="94">
        <f>L65+L66-(L67*L68)</f>
        <v>4.5087000000000002E-2</v>
      </c>
    </row>
    <row r="70" spans="1:12" ht="14.75" customHeight="1" x14ac:dyDescent="0.45">
      <c r="A70" s="35"/>
      <c r="B70" s="179"/>
      <c r="C70" s="180"/>
      <c r="D70" s="5"/>
      <c r="E70" s="5"/>
      <c r="F70" s="5"/>
      <c r="G70" s="5"/>
      <c r="I70" s="5"/>
    </row>
    <row r="71" spans="1:12" ht="14.75" customHeight="1" thickBot="1" x14ac:dyDescent="0.5">
      <c r="A71" s="35"/>
      <c r="B71" s="181"/>
      <c r="C71" s="182"/>
      <c r="D71" s="5"/>
      <c r="E71" s="5"/>
      <c r="F71" s="5"/>
      <c r="G71" s="5"/>
      <c r="I71" s="5"/>
    </row>
    <row r="72" spans="1:12" x14ac:dyDescent="0.45">
      <c r="A72" s="35" t="s">
        <v>245</v>
      </c>
      <c r="B72" s="5" t="s">
        <v>203</v>
      </c>
      <c r="C72" s="5">
        <f>IF(C49&gt;=75,ROUND((1150+1400)/C52,2),IF(C49&gt;=65,ROUND(1150/C52,2),0))</f>
        <v>0</v>
      </c>
      <c r="D72" s="5"/>
      <c r="E72" s="5"/>
      <c r="F72" s="5"/>
      <c r="G72" s="5"/>
      <c r="I72" s="5"/>
      <c r="J72" s="85" t="s">
        <v>229</v>
      </c>
      <c r="K72" s="88"/>
      <c r="L72" s="89"/>
    </row>
    <row r="73" spans="1:12" x14ac:dyDescent="0.45">
      <c r="A73" s="5"/>
      <c r="B73" s="5" t="s">
        <v>204</v>
      </c>
      <c r="C73" s="5">
        <f>IF(C54&gt;=75,ROUND((1150+1400)/C57,2),IF(C54&gt;=65,ROUND(1150/C57,2),0))</f>
        <v>0</v>
      </c>
      <c r="D73" s="5"/>
      <c r="E73" s="5"/>
      <c r="F73" s="5"/>
      <c r="G73" s="5"/>
      <c r="I73" s="5"/>
      <c r="J73" s="9" t="s">
        <v>230</v>
      </c>
      <c r="K73" s="7"/>
      <c r="L73" s="82">
        <v>4.7E-2</v>
      </c>
    </row>
    <row r="74" spans="1:12" x14ac:dyDescent="0.45">
      <c r="A74" s="5"/>
      <c r="B74" s="5" t="s">
        <v>205</v>
      </c>
      <c r="C74" s="5">
        <f>IF(C59&gt;=75,ROUND((1150+1400)/C62,2),IF(C59&gt;=65,ROUND(1150/C62,2),0))</f>
        <v>0</v>
      </c>
      <c r="D74" s="5"/>
      <c r="E74" s="5"/>
      <c r="F74" s="5"/>
      <c r="G74" s="5"/>
      <c r="I74" s="5"/>
      <c r="J74" s="9" t="s">
        <v>231</v>
      </c>
      <c r="K74" s="7"/>
      <c r="L74" s="82">
        <v>1.1999999999999999E-3</v>
      </c>
    </row>
    <row r="75" spans="1:12" x14ac:dyDescent="0.45">
      <c r="A75" s="5"/>
      <c r="B75" s="5" t="s">
        <v>206</v>
      </c>
      <c r="C75" s="5">
        <f>IF(C64&gt;=75,ROUND((1150+1400)/C67,2),IF(C64&gt;=65,ROUND(1150/C67,2),0))</f>
        <v>0</v>
      </c>
      <c r="D75" s="5"/>
      <c r="E75" s="5"/>
      <c r="F75" s="5"/>
      <c r="G75" s="5"/>
      <c r="I75" s="5"/>
      <c r="J75" s="9" t="s">
        <v>232</v>
      </c>
      <c r="K75" s="7"/>
      <c r="L75" s="82">
        <v>1.55E-2</v>
      </c>
    </row>
    <row r="76" spans="1:12" x14ac:dyDescent="0.45">
      <c r="A76" s="25"/>
      <c r="B76" s="5" t="s">
        <v>208</v>
      </c>
      <c r="C76" s="5">
        <f>IF(C49&lt;65,0,IF(C50=A40,ROUND(12000/C52,2),IF(AND(C50=A41,C51="No"),ROUND(3000/C52,2),IF(AND(C50=A41,C51="Sí"),ROUND(6000/C52,2),""))))</f>
        <v>0</v>
      </c>
      <c r="D76" s="5"/>
      <c r="E76" s="5"/>
      <c r="F76" s="5"/>
      <c r="G76" s="5"/>
      <c r="I76" s="5"/>
      <c r="J76" s="9" t="s">
        <v>233</v>
      </c>
      <c r="K76" s="7"/>
      <c r="L76" s="82">
        <v>1E-3</v>
      </c>
    </row>
    <row r="77" spans="1:12" ht="14.65" thickBot="1" x14ac:dyDescent="0.5">
      <c r="A77" s="25"/>
      <c r="B77" s="5" t="s">
        <v>209</v>
      </c>
      <c r="C77" s="5">
        <f>IF(C54&lt;65,0,IF(C55=A40,ROUND(12000/C57,2),IF(AND(C55=A41,C56="No"),ROUND(3000/C57,2),IF(AND(C55=A41,C56="Sí"),ROUND(6000/C57,2),""))))</f>
        <v>0</v>
      </c>
      <c r="D77" s="5"/>
      <c r="E77" s="5"/>
      <c r="F77" s="5"/>
      <c r="G77" s="5"/>
      <c r="I77" s="5"/>
      <c r="J77" s="91" t="s">
        <v>234</v>
      </c>
      <c r="K77" s="92"/>
      <c r="L77" s="93">
        <f>SUM(L73:L76)</f>
        <v>6.4700000000000008E-2</v>
      </c>
    </row>
    <row r="78" spans="1:12" x14ac:dyDescent="0.45">
      <c r="A78" s="25"/>
      <c r="B78" s="5" t="s">
        <v>210</v>
      </c>
      <c r="C78" s="5">
        <f>IF(C59&lt;65,0,IF(C60=A40,ROUND(12000/C62,2),IF(AND(C60=A41,C61="No"),ROUND(3000/C62,2),IF(AND(C60=A41,C61="Sí"),ROUND(6000/C62,2),""))))</f>
        <v>0</v>
      </c>
      <c r="D78" s="5"/>
      <c r="E78" s="5"/>
      <c r="F78" s="5"/>
      <c r="G78" s="5"/>
      <c r="I78" s="5"/>
    </row>
    <row r="79" spans="1:12" x14ac:dyDescent="0.45">
      <c r="A79" s="25"/>
      <c r="B79" s="5" t="s">
        <v>211</v>
      </c>
      <c r="C79" s="5">
        <f>IF(C64&lt;65,0,IF(C65=A40,ROUND(12000/C67,2),IF(AND(C65=A41,C66="No"),ROUND(3000/C67,2),IF(AND(C65=A41,C66="Sí"),ROUND(6000/C67,2),""))))</f>
        <v>0</v>
      </c>
      <c r="D79" s="5"/>
      <c r="E79" s="5"/>
      <c r="F79" s="5"/>
      <c r="G79" s="5"/>
      <c r="I79" s="5"/>
    </row>
    <row r="80" spans="1:12" x14ac:dyDescent="0.45">
      <c r="A80" s="25"/>
      <c r="B80" s="5"/>
      <c r="C80" s="5"/>
      <c r="D80" s="5"/>
      <c r="E80" s="5"/>
      <c r="F80" s="5"/>
      <c r="G80" s="5"/>
      <c r="I80" s="5"/>
    </row>
    <row r="81" spans="1:9" x14ac:dyDescent="0.45">
      <c r="A81" s="25"/>
      <c r="B81" s="5" t="s">
        <v>248</v>
      </c>
      <c r="C81" s="5"/>
      <c r="D81" s="25"/>
      <c r="E81" s="5"/>
      <c r="F81" s="5"/>
      <c r="G81" s="5"/>
      <c r="I81" s="5"/>
    </row>
    <row r="82" spans="1:9" x14ac:dyDescent="0.45">
      <c r="A82" s="25"/>
      <c r="B82" s="5" t="s">
        <v>249</v>
      </c>
      <c r="C82" s="39">
        <f>L49-C34</f>
        <v>30196.977059000004</v>
      </c>
      <c r="D82" s="25"/>
      <c r="E82" s="5"/>
      <c r="F82" s="5"/>
      <c r="G82" s="5"/>
      <c r="I82" s="5"/>
    </row>
    <row r="83" spans="1:9" x14ac:dyDescent="0.45">
      <c r="A83" s="25"/>
      <c r="B83" s="5" t="s">
        <v>250</v>
      </c>
      <c r="C83" s="39">
        <f>C34</f>
        <v>0</v>
      </c>
      <c r="D83" s="25"/>
      <c r="E83" s="5"/>
      <c r="F83" s="5"/>
      <c r="G83" s="5"/>
      <c r="I83" s="5"/>
    </row>
    <row r="84" spans="1:9" x14ac:dyDescent="0.45">
      <c r="A84" s="25"/>
      <c r="B84" s="5" t="s">
        <v>251</v>
      </c>
      <c r="C84" s="40">
        <f>MAX(B86:B91)</f>
        <v>7224.5931177000011</v>
      </c>
      <c r="D84" s="25"/>
      <c r="E84" s="5"/>
      <c r="F84" s="5"/>
      <c r="G84" s="5"/>
      <c r="I84" s="5"/>
    </row>
    <row r="85" spans="1:9" x14ac:dyDescent="0.45">
      <c r="A85" s="25"/>
      <c r="B85" s="5" t="s">
        <v>253</v>
      </c>
      <c r="C85" s="5"/>
      <c r="D85" s="25"/>
      <c r="E85" s="5"/>
      <c r="F85" s="5"/>
      <c r="G85" s="5"/>
      <c r="I85" s="5"/>
    </row>
    <row r="86" spans="1:9" x14ac:dyDescent="0.45">
      <c r="A86" s="25"/>
      <c r="B86" s="5" t="str">
        <f>IF(C82&lt;12450,0+(C82)*0.19,"")</f>
        <v/>
      </c>
      <c r="C86" s="5"/>
      <c r="D86" s="25"/>
      <c r="E86" s="5"/>
      <c r="F86" s="5"/>
      <c r="G86" s="5"/>
      <c r="I86" s="5"/>
    </row>
    <row r="87" spans="1:9" x14ac:dyDescent="0.45">
      <c r="A87" s="25"/>
      <c r="B87" s="5" t="str">
        <f>IF(AND(C82&gt;=12450,C82&lt;20200),2365.5+(C82-12450)*0.24,"")</f>
        <v/>
      </c>
      <c r="C87" s="5"/>
      <c r="D87" s="25"/>
      <c r="E87" s="5"/>
      <c r="F87" s="5"/>
      <c r="G87" s="5"/>
      <c r="I87" s="5"/>
    </row>
    <row r="88" spans="1:9" x14ac:dyDescent="0.45">
      <c r="A88" s="25"/>
      <c r="B88" s="5">
        <f>IF(AND(C82&gt;=20200,C82&lt;35200),4225.5+(C82-20200)*0.3,"")</f>
        <v>7224.5931177000011</v>
      </c>
      <c r="C88" s="5"/>
      <c r="D88" s="25"/>
      <c r="E88" s="5"/>
      <c r="F88" s="5"/>
      <c r="G88" s="5"/>
      <c r="I88" s="5"/>
    </row>
    <row r="89" spans="1:9" x14ac:dyDescent="0.45">
      <c r="A89" s="25"/>
      <c r="B89" s="5" t="str">
        <f>IF(AND(C82&gt;=35200,C82&lt;60000),8725.5+(C82-35200)*0.37,"")</f>
        <v/>
      </c>
      <c r="C89" s="5"/>
      <c r="D89" s="25"/>
      <c r="E89" s="5"/>
      <c r="F89" s="5"/>
      <c r="G89" s="5"/>
      <c r="I89" s="5"/>
    </row>
    <row r="90" spans="1:9" x14ac:dyDescent="0.45">
      <c r="A90" s="25"/>
      <c r="B90" s="5" t="str">
        <f>IF(AND(C82&gt;=60000,C82&lt;300000),17901.5+(C82-60000)*0.45,"")</f>
        <v/>
      </c>
      <c r="C90" s="5"/>
      <c r="D90" s="25"/>
      <c r="E90" s="5"/>
      <c r="F90" s="5"/>
      <c r="G90" s="5"/>
      <c r="I90" s="5"/>
    </row>
    <row r="91" spans="1:9" x14ac:dyDescent="0.45">
      <c r="A91" s="25"/>
      <c r="B91" s="5" t="str">
        <f>IF(C82&gt;300000,125901.5+(C82-300000)*0.47,"")</f>
        <v/>
      </c>
      <c r="C91" s="5"/>
      <c r="D91" s="25"/>
      <c r="E91" s="5"/>
      <c r="F91" s="5"/>
      <c r="G91" s="5"/>
      <c r="I91" s="5"/>
    </row>
    <row r="92" spans="1:9" x14ac:dyDescent="0.45">
      <c r="A92" s="25"/>
      <c r="B92" s="5" t="s">
        <v>252</v>
      </c>
      <c r="C92" s="40">
        <f>MAX(B93:B98)</f>
        <v>0</v>
      </c>
      <c r="D92" s="25"/>
      <c r="E92" s="5"/>
      <c r="F92" s="5"/>
      <c r="G92" s="5"/>
      <c r="I92" s="5"/>
    </row>
    <row r="93" spans="1:9" x14ac:dyDescent="0.45">
      <c r="A93" s="25"/>
      <c r="B93" s="5">
        <f>IF(C83&lt;12450,0+(C83)*0.19,"")</f>
        <v>0</v>
      </c>
      <c r="C93" s="5"/>
      <c r="D93" s="25"/>
      <c r="E93" s="5"/>
      <c r="F93" s="5"/>
      <c r="G93" s="5"/>
      <c r="I93" s="5"/>
    </row>
    <row r="94" spans="1:9" x14ac:dyDescent="0.45">
      <c r="A94" s="25"/>
      <c r="B94" s="5" t="str">
        <f>IF(AND(C83&gt;=12450,C83&lt;20200),2365.5+(C83-12450)*0.24,"")</f>
        <v/>
      </c>
      <c r="C94" s="5"/>
      <c r="D94" s="25"/>
      <c r="E94" s="5"/>
      <c r="F94" s="5"/>
      <c r="G94" s="5"/>
      <c r="I94" s="5"/>
    </row>
    <row r="95" spans="1:9" x14ac:dyDescent="0.45">
      <c r="A95" s="25"/>
      <c r="B95" s="5" t="str">
        <f>IF(AND(C83&gt;=20200,C83&lt;35200),4225.5+(C83-20200)*0.3,"")</f>
        <v/>
      </c>
      <c r="C95" s="5"/>
      <c r="D95" s="25"/>
      <c r="E95" s="5"/>
      <c r="F95" s="5"/>
      <c r="G95" s="5"/>
      <c r="I95" s="5"/>
    </row>
    <row r="96" spans="1:9" x14ac:dyDescent="0.45">
      <c r="A96" s="25"/>
      <c r="B96" s="5" t="str">
        <f>IF(AND(C83&gt;=35200,C83&lt;60000),8725.5+(C83-35200)*0.37,"")</f>
        <v/>
      </c>
      <c r="C96" s="5"/>
      <c r="D96" s="25"/>
      <c r="E96" s="5"/>
      <c r="F96" s="5"/>
      <c r="G96" s="5"/>
      <c r="I96" s="5"/>
    </row>
    <row r="97" spans="1:4" x14ac:dyDescent="0.45">
      <c r="A97" s="25"/>
      <c r="B97" s="5" t="str">
        <f>IF(AND(C83&gt;=60000,C83&lt;300000),17901.5+(C83-60000)*0.45,"")</f>
        <v/>
      </c>
      <c r="C97" s="5"/>
      <c r="D97" s="25"/>
    </row>
    <row r="98" spans="1:4" x14ac:dyDescent="0.45">
      <c r="B98" s="5" t="str">
        <f>IF(C83&gt;300000,125901.5+(C83-300000)*0.47,"")</f>
        <v/>
      </c>
      <c r="C98" s="5"/>
    </row>
    <row r="99" spans="1:4" x14ac:dyDescent="0.45">
      <c r="B99" s="5" t="s">
        <v>254</v>
      </c>
      <c r="C99" s="39">
        <f>IF(AND(C34&gt;0,L49-C34&gt;0),C92+C84,C109)</f>
        <v>7224.5931177000011</v>
      </c>
    </row>
    <row r="100" spans="1:4" x14ac:dyDescent="0.45">
      <c r="B100" s="5" t="s">
        <v>255</v>
      </c>
      <c r="C100" s="40">
        <f>IF(AND(C34&gt;0,L49-C34&gt;0),L48+1980,L48)</f>
        <v>5550</v>
      </c>
    </row>
    <row r="101" spans="1:4" x14ac:dyDescent="0.45">
      <c r="B101" s="5" t="s">
        <v>256</v>
      </c>
      <c r="C101" s="40">
        <f>MAX(B102:B107)</f>
        <v>1054.5</v>
      </c>
    </row>
    <row r="102" spans="1:4" x14ac:dyDescent="0.45">
      <c r="B102" s="5">
        <f>IF(C100&lt;12450,0+(C100)*0.19,"")</f>
        <v>1054.5</v>
      </c>
      <c r="C102" s="5"/>
    </row>
    <row r="103" spans="1:4" x14ac:dyDescent="0.45">
      <c r="B103" s="5" t="str">
        <f>IF(AND(C100&gt;=12450,C100&lt;20200),2365.5+(C100-12450)*0.24,"")</f>
        <v/>
      </c>
      <c r="C103" s="5"/>
    </row>
    <row r="104" spans="1:4" x14ac:dyDescent="0.45">
      <c r="B104" s="5" t="str">
        <f>IF(AND(C100&gt;=20200,C100&lt;35200),4225.5+(C100-20200)*0.3,"")</f>
        <v/>
      </c>
      <c r="C104" s="5"/>
    </row>
    <row r="105" spans="1:4" x14ac:dyDescent="0.45">
      <c r="B105" s="5" t="str">
        <f>IF(AND(C100&gt;=35200,C100&lt;60000),8725.5+(C100-35200)*0.37,"")</f>
        <v/>
      </c>
      <c r="C105" s="5"/>
    </row>
    <row r="106" spans="1:4" x14ac:dyDescent="0.45">
      <c r="B106" s="5" t="str">
        <f>IF(AND(C100&gt;=60000,C100&lt;300000),17901.5+(C100-60000)*0.45,"")</f>
        <v/>
      </c>
      <c r="C106" s="5"/>
    </row>
    <row r="107" spans="1:4" x14ac:dyDescent="0.45">
      <c r="B107" s="5" t="str">
        <f>IF(C100&gt;300000,125901.5+(C100-300000)*0.47,"")</f>
        <v/>
      </c>
      <c r="C107" s="5"/>
    </row>
    <row r="108" spans="1:4" x14ac:dyDescent="0.45">
      <c r="B108" s="5" t="s">
        <v>257</v>
      </c>
      <c r="C108" s="41">
        <f>IF(C99&gt;C101,C99-C101,L60)</f>
        <v>6170.0931177000011</v>
      </c>
    </row>
    <row r="109" spans="1:4" x14ac:dyDescent="0.45">
      <c r="B109" s="5" t="s">
        <v>258</v>
      </c>
      <c r="C109" s="40">
        <f>MAX(B110:B116)</f>
        <v>7224.5931177000011</v>
      </c>
    </row>
    <row r="110" spans="1:4" x14ac:dyDescent="0.45">
      <c r="B110" s="5" t="str">
        <f>IF(L49&lt;12450,0+(L49)*0.19,"")</f>
        <v/>
      </c>
      <c r="C110" s="5"/>
    </row>
    <row r="111" spans="1:4" x14ac:dyDescent="0.45">
      <c r="B111" s="5" t="str">
        <f>IF(AND(L49&gt;=12450,L49&lt;20200),2365.5+(L49-12450)*0.24,"")</f>
        <v/>
      </c>
      <c r="C111" s="5"/>
    </row>
    <row r="112" spans="1:4" x14ac:dyDescent="0.45">
      <c r="B112" s="5">
        <f>IF(AND(L49&gt;=20200,L49&lt;35200),4225.5+(L49-20200)*0.3,"")</f>
        <v>7224.5931177000011</v>
      </c>
      <c r="C112" s="5"/>
    </row>
    <row r="113" spans="2:3" x14ac:dyDescent="0.45">
      <c r="B113" s="5" t="str">
        <f>IF(AND(L49&gt;=35200,L49&lt;60000),8725.5+(L49-35200)*0.37,"")</f>
        <v/>
      </c>
      <c r="C113" s="5"/>
    </row>
    <row r="114" spans="2:3" x14ac:dyDescent="0.45">
      <c r="B114" s="5" t="str">
        <f>IF(AND(L49&gt;=60000,L49&lt;300000),17901.5+(L49-60000)*0.45,"")</f>
        <v/>
      </c>
      <c r="C114" s="5"/>
    </row>
    <row r="115" spans="2:3" x14ac:dyDescent="0.45">
      <c r="B115" s="5" t="str">
        <f>IF(L49&gt;300000,125901.5+(L49-300000)*0.47,"")</f>
        <v/>
      </c>
      <c r="C115" s="5"/>
    </row>
    <row r="116" spans="2:3" x14ac:dyDescent="0.45">
      <c r="B116" s="5"/>
      <c r="C116" s="5"/>
    </row>
    <row r="117" spans="2:3" x14ac:dyDescent="0.45">
      <c r="B117" s="5"/>
      <c r="C117" s="5"/>
    </row>
    <row r="118" spans="2:3" x14ac:dyDescent="0.45">
      <c r="B118" s="5" t="s">
        <v>259</v>
      </c>
      <c r="C118" s="5"/>
    </row>
    <row r="119" spans="2:3" x14ac:dyDescent="0.45">
      <c r="B119" s="5" t="s">
        <v>261</v>
      </c>
      <c r="C119" s="5"/>
    </row>
    <row r="120" spans="2:3" x14ac:dyDescent="0.45">
      <c r="B120" s="5" t="s">
        <v>260</v>
      </c>
      <c r="C120" s="5"/>
    </row>
    <row r="121" spans="2:3" x14ac:dyDescent="0.45">
      <c r="B121" s="5">
        <f>IF(AND(L36&lt;=35200,C68=1,C35=1),(L36-(17270+C120+C121))*0.43,0)</f>
        <v>0</v>
      </c>
      <c r="C121" s="5"/>
    </row>
    <row r="122" spans="2:3" x14ac:dyDescent="0.45">
      <c r="B122" s="5">
        <f>IF(AND(L36&lt;=35200,C68=1,C35&gt;1),(L36-(18617+C120+C121))*0.43,0)</f>
        <v>0</v>
      </c>
      <c r="C122" s="5"/>
    </row>
    <row r="123" spans="2:3" x14ac:dyDescent="0.45">
      <c r="B123" s="5">
        <f>IF(AND(L36&lt;=35200,C68=2,C35=0),(L36-(16696+C120+C121))*0.43,0)</f>
        <v>0</v>
      </c>
      <c r="C123" s="5"/>
    </row>
    <row r="124" spans="2:3" x14ac:dyDescent="0.45">
      <c r="B124" s="5">
        <f>IF(AND(L36&lt;=35200,C68=2,C35=1),(L36-(17894+C120+C121))*0.43,0)</f>
        <v>0</v>
      </c>
      <c r="C124" s="5"/>
    </row>
    <row r="125" spans="2:3" x14ac:dyDescent="0.45">
      <c r="B125" s="5">
        <f>IF(AND(L36&lt;=35200,C68=2,C35&gt;1),(L36-(19241+C120+C121))*0.43,0)</f>
        <v>0</v>
      </c>
      <c r="C125" s="5"/>
    </row>
    <row r="126" spans="2:3" x14ac:dyDescent="0.45">
      <c r="B126" s="5">
        <f>IF(AND(L36&lt;=35200,C68=3,C35=0),(L36-(15000+C120+C121))*0.43,0)</f>
        <v>8525.0682000000015</v>
      </c>
      <c r="C126" s="5"/>
    </row>
    <row r="127" spans="2:3" x14ac:dyDescent="0.45">
      <c r="B127" s="5">
        <f>IF(AND(L36&lt;=35200,C68=3,C35=1),(L36-(15599+C120+C121))*0.43,0)</f>
        <v>0</v>
      </c>
      <c r="C127" s="5"/>
    </row>
    <row r="128" spans="2:3" x14ac:dyDescent="0.45">
      <c r="B128" s="5">
        <f>IF(AND(L36&lt;=35200,C68=3,C35&gt;1),(L36-(16272+C120+C121))*0.43,0)</f>
        <v>0</v>
      </c>
      <c r="C128" s="5"/>
    </row>
    <row r="129" spans="2:3" x14ac:dyDescent="0.45">
      <c r="B129" s="5" t="s">
        <v>263</v>
      </c>
      <c r="C129" s="5" t="str">
        <f>IF(MAX(B121:B128)&gt;0,"Sí","No")</f>
        <v>Sí</v>
      </c>
    </row>
    <row r="130" spans="2:3" x14ac:dyDescent="0.45">
      <c r="B130" s="5" t="s">
        <v>264</v>
      </c>
      <c r="C130" s="5">
        <f>MAX(B121:B128)</f>
        <v>8525.0682000000015</v>
      </c>
    </row>
    <row r="131" spans="2:3" x14ac:dyDescent="0.45">
      <c r="B131" s="5" t="s">
        <v>262</v>
      </c>
      <c r="C131" s="41">
        <f>IF(C129="No",C108,IF(C108&gt;C130,C130,C108))</f>
        <v>6170.0931177000011</v>
      </c>
    </row>
    <row r="132" spans="2:3" x14ac:dyDescent="0.45">
      <c r="B132" s="5"/>
      <c r="C132" s="5"/>
    </row>
    <row r="133" spans="2:3" x14ac:dyDescent="0.45">
      <c r="B133" s="5"/>
      <c r="C133" s="5"/>
    </row>
    <row r="134" spans="2:3" x14ac:dyDescent="0.45">
      <c r="B134" s="5"/>
      <c r="C134" s="5"/>
    </row>
    <row r="135" spans="2:3" x14ac:dyDescent="0.45">
      <c r="B135" s="5"/>
      <c r="C135" s="5"/>
    </row>
    <row r="136" spans="2:3" x14ac:dyDescent="0.45">
      <c r="B136" s="5"/>
      <c r="C136" s="5"/>
    </row>
    <row r="137" spans="2:3" x14ac:dyDescent="0.45">
      <c r="B137" s="5"/>
      <c r="C137" s="5"/>
    </row>
    <row r="138" spans="2:3" x14ac:dyDescent="0.45">
      <c r="B138" s="5"/>
      <c r="C138" s="5"/>
    </row>
    <row r="139" spans="2:3" x14ac:dyDescent="0.45">
      <c r="B139" s="5"/>
      <c r="C139" s="5"/>
    </row>
  </sheetData>
  <sheetProtection algorithmName="SHA-512" hashValue="hPbPPPOAr7i2l6405E37+y+L2kbcNj7ydkpgxzJYzQg7GhPhX/PbYISfmQnqTHXN/pUNN0u6c2sOTnE2IzcQbQ==" saltValue="QIVAhncAUCpE4tsgHjp7lg==" spinCount="100000" sheet="1" objects="1" scenarios="1"/>
  <mergeCells count="12">
    <mergeCell ref="J3:K3"/>
    <mergeCell ref="B31:C31"/>
    <mergeCell ref="B28:C28"/>
    <mergeCell ref="B3:C3"/>
    <mergeCell ref="J4:K5"/>
    <mergeCell ref="L4:L5"/>
    <mergeCell ref="M4:M5"/>
    <mergeCell ref="B41:B43"/>
    <mergeCell ref="C41:C43"/>
    <mergeCell ref="B69:C71"/>
    <mergeCell ref="B44:B46"/>
    <mergeCell ref="C44:C46"/>
  </mergeCells>
  <dataValidations count="19">
    <dataValidation type="whole" allowBlank="1" showInputMessage="1" showErrorMessage="1" sqref="C6:C10">
      <formula1>0</formula1>
      <formula2>14</formula2>
    </dataValidation>
    <dataValidation type="whole" allowBlank="1" showInputMessage="1" showErrorMessage="1" sqref="C11">
      <formula1>0</formula1>
      <formula2>5</formula2>
    </dataValidation>
    <dataValidation type="decimal" allowBlank="1" showInputMessage="1" showErrorMessage="1" sqref="C4:C5">
      <formula1>0</formula1>
      <formula2>100</formula2>
    </dataValidation>
    <dataValidation type="list" allowBlank="1" showInputMessage="1" showErrorMessage="1" sqref="C12">
      <formula1>$D$12:$D$19</formula1>
    </dataValidation>
    <dataValidation type="list" allowBlank="1" showInputMessage="1" showErrorMessage="1" sqref="C13">
      <formula1>$F$12:$F$18</formula1>
    </dataValidation>
    <dataValidation type="list" allowBlank="1" showInputMessage="1" showErrorMessage="1" sqref="C14">
      <formula1>$G$12:$G$16</formula1>
    </dataValidation>
    <dataValidation type="list" allowBlank="1" showInputMessage="1" showErrorMessage="1" sqref="C25 C15:C20 C22:C23 C32 C37 C39 C51 C56 C61 C66 C47">
      <formula1>$H$12:$H$13</formula1>
    </dataValidation>
    <dataValidation type="list" allowBlank="1" showInputMessage="1" showErrorMessage="1" sqref="C21">
      <formula1>$H$15:$H$20</formula1>
    </dataValidation>
    <dataValidation type="whole" allowBlank="1" showInputMessage="1" showErrorMessage="1" sqref="C24">
      <formula1>0</formula1>
      <formula2>30</formula2>
    </dataValidation>
    <dataValidation type="whole" allowBlank="1" showInputMessage="1" showErrorMessage="1" sqref="C26:C27">
      <formula1>0</formula1>
      <formula2>10000</formula2>
    </dataValidation>
    <dataValidation type="whole" allowBlank="1" showInputMessage="1" showErrorMessage="1" sqref="C30">
      <formula1>1980</formula1>
      <formula2>2023</formula2>
    </dataValidation>
    <dataValidation type="list" allowBlank="1" showInputMessage="1" showErrorMessage="1" sqref="C29">
      <formula1>$A$35:$A$37</formula1>
    </dataValidation>
    <dataValidation type="whole" allowBlank="1" showInputMessage="1" showErrorMessage="1" sqref="C35">
      <formula1>0</formula1>
      <formula2>100</formula2>
    </dataValidation>
    <dataValidation type="whole" allowBlank="1" showInputMessage="1" showErrorMessage="1" sqref="C36 C40:C41">
      <formula1>0</formula1>
      <formula2>C35</formula2>
    </dataValidation>
    <dataValidation type="whole" allowBlank="1" showInputMessage="1" showErrorMessage="1" sqref="C49 C54 C59 C64">
      <formula1>18</formula1>
      <formula2>130</formula2>
    </dataValidation>
    <dataValidation type="whole" allowBlank="1" showInputMessage="1" showErrorMessage="1" sqref="C52 C57 C62 C67">
      <formula1>0</formula1>
      <formula2>20</formula2>
    </dataValidation>
    <dataValidation type="whole" allowBlank="1" showInputMessage="1" showErrorMessage="1" sqref="C44">
      <formula1>0</formula1>
      <formula2>C40</formula2>
    </dataValidation>
    <dataValidation type="list" allowBlank="1" showInputMessage="1" showErrorMessage="1" sqref="C38 C60 C50 C55 C65">
      <formula1>$A$38:$A$42</formula1>
    </dataValidation>
    <dataValidation type="list" allowBlank="1" showInputMessage="1" showErrorMessage="1" sqref="B69">
      <formula1>$A$68:$A$72</formula1>
    </dataValidation>
  </dataValidations>
  <hyperlinks>
    <hyperlink ref="B2" location="Inicio!A1" display="Ir a inicio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7"/>
  <sheetViews>
    <sheetView showRowColHeaders="0" zoomScaleNormal="100" workbookViewId="0">
      <selection activeCell="B2" sqref="B2"/>
    </sheetView>
  </sheetViews>
  <sheetFormatPr baseColWidth="10" defaultRowHeight="14.25" x14ac:dyDescent="0.45"/>
  <cols>
    <col min="1" max="1" width="0.53125" style="4" customWidth="1"/>
    <col min="2" max="2" width="55.86328125" style="4" customWidth="1"/>
    <col min="3" max="3" width="26.19921875" style="4" customWidth="1"/>
    <col min="4" max="4" width="2.265625" style="24" customWidth="1"/>
    <col min="5" max="5" width="1" style="24" customWidth="1"/>
    <col min="6" max="6" width="0.796875" style="24" hidden="1" customWidth="1"/>
    <col min="7" max="7" width="6.640625E-2" style="24" hidden="1" customWidth="1"/>
    <col min="8" max="8" width="6.19921875" style="24" hidden="1" customWidth="1"/>
    <col min="9" max="9" width="1.1328125" style="4" customWidth="1"/>
    <col min="10" max="10" width="10.6640625" style="4"/>
    <col min="11" max="11" width="41.33203125" style="4" customWidth="1"/>
    <col min="12" max="12" width="17.73046875" style="4" customWidth="1"/>
    <col min="13" max="13" width="17.9296875" style="4" customWidth="1"/>
    <col min="14" max="14" width="5.3984375" style="4" customWidth="1"/>
    <col min="15" max="15" width="4.73046875" style="4" customWidth="1"/>
    <col min="16" max="16384" width="10.6640625" style="4"/>
  </cols>
  <sheetData>
    <row r="1" spans="1:29" ht="118.5" customHeight="1" thickBot="1" x14ac:dyDescent="0.5">
      <c r="O1"/>
    </row>
    <row r="2" spans="1:29" ht="19.149999999999999" customHeight="1" thickBot="1" x14ac:dyDescent="0.5">
      <c r="B2" s="96" t="s">
        <v>293</v>
      </c>
      <c r="L2" s="33" t="s">
        <v>241</v>
      </c>
      <c r="M2" s="34" t="s">
        <v>172</v>
      </c>
      <c r="Q2" s="24"/>
      <c r="R2" s="24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8.25" customHeight="1" thickBot="1" x14ac:dyDescent="0.7">
      <c r="B3" s="158" t="s">
        <v>240</v>
      </c>
      <c r="C3" s="159"/>
      <c r="J3" s="160" t="s">
        <v>227</v>
      </c>
      <c r="K3" s="161"/>
      <c r="L3" s="84">
        <f>L4-SUM(L27:L31)</f>
        <v>2131.006657242388</v>
      </c>
      <c r="M3" s="84">
        <f>M4-SUM(M27:M31)</f>
        <v>1967.2238385456717</v>
      </c>
      <c r="Q3" s="24"/>
      <c r="R3" s="24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8.399999999999999" customHeight="1" thickBot="1" x14ac:dyDescent="0.5">
      <c r="A4" s="24"/>
      <c r="B4" s="26" t="s">
        <v>274</v>
      </c>
      <c r="C4" s="49">
        <v>100</v>
      </c>
      <c r="D4" s="50" t="s">
        <v>140</v>
      </c>
      <c r="J4" s="162" t="s">
        <v>121</v>
      </c>
      <c r="K4" s="163"/>
      <c r="L4" s="152">
        <f>SUM(L6:L25)</f>
        <v>3029.58</v>
      </c>
      <c r="M4" s="152">
        <f>SUM(M6:M25)</f>
        <v>2531.46</v>
      </c>
      <c r="Q4" s="24"/>
      <c r="R4" s="24"/>
      <c r="S4" s="5"/>
      <c r="T4" s="5" t="s">
        <v>122</v>
      </c>
      <c r="U4" s="5"/>
      <c r="V4" s="5">
        <f>$C$6*Datos!G15</f>
        <v>0</v>
      </c>
      <c r="W4" s="5">
        <f>$C$6*Datos!G16</f>
        <v>0</v>
      </c>
      <c r="X4" s="5"/>
      <c r="Y4" s="5"/>
      <c r="Z4" s="5"/>
      <c r="AA4" s="5"/>
      <c r="AB4" s="5"/>
      <c r="AC4" s="5"/>
    </row>
    <row r="5" spans="1:29" ht="18.399999999999999" customHeight="1" thickBot="1" x14ac:dyDescent="0.5">
      <c r="A5" s="24"/>
      <c r="B5" s="26" t="s">
        <v>163</v>
      </c>
      <c r="C5" s="48"/>
      <c r="D5" s="5" t="s">
        <v>285</v>
      </c>
      <c r="E5" s="5"/>
      <c r="F5" s="5"/>
      <c r="G5" s="5"/>
      <c r="H5" s="5"/>
      <c r="I5" s="5"/>
      <c r="J5" s="164"/>
      <c r="K5" s="165"/>
      <c r="L5" s="153"/>
      <c r="M5" s="153"/>
      <c r="Q5" s="24"/>
      <c r="R5" s="24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x14ac:dyDescent="0.45">
      <c r="A6" s="24"/>
      <c r="B6" s="6" t="str">
        <f>T4</f>
        <v>Trienios A1</v>
      </c>
      <c r="C6" s="17">
        <v>0</v>
      </c>
      <c r="D6" s="5" t="s">
        <v>288</v>
      </c>
      <c r="E6" s="5"/>
      <c r="F6" s="5"/>
      <c r="G6" s="5"/>
      <c r="H6" s="5"/>
      <c r="I6" s="5"/>
      <c r="J6" s="63" t="s">
        <v>118</v>
      </c>
      <c r="K6" s="67"/>
      <c r="L6" s="59">
        <f>ROUND((C4/100)*Datos!G4,2)</f>
        <v>1300.8800000000001</v>
      </c>
      <c r="M6" s="59">
        <f>ROUND((C4/100)*Datos!G5,2)</f>
        <v>802.76</v>
      </c>
      <c r="Q6" s="24"/>
      <c r="R6" s="24"/>
      <c r="S6" s="5"/>
      <c r="T6" s="5" t="s">
        <v>123</v>
      </c>
      <c r="U6" s="5"/>
      <c r="V6" s="5">
        <f>$C$7*Datos!G17</f>
        <v>0</v>
      </c>
      <c r="W6" s="5">
        <f>$C$7*Datos!G18</f>
        <v>0</v>
      </c>
      <c r="X6" s="5"/>
      <c r="Y6" s="5"/>
      <c r="Z6" s="5"/>
      <c r="AA6" s="5"/>
      <c r="AB6" s="5"/>
      <c r="AC6" s="5"/>
    </row>
    <row r="7" spans="1:29" x14ac:dyDescent="0.45">
      <c r="A7" s="24"/>
      <c r="B7" s="8" t="str">
        <f t="shared" ref="B7:B10" si="0">T6</f>
        <v>Trienios A2</v>
      </c>
      <c r="C7" s="18">
        <v>0</v>
      </c>
      <c r="D7" s="5"/>
      <c r="E7" s="5"/>
      <c r="F7" s="5"/>
      <c r="G7" s="5"/>
      <c r="H7" s="5"/>
      <c r="I7" s="5"/>
      <c r="J7" s="42" t="s">
        <v>119</v>
      </c>
      <c r="K7"/>
      <c r="L7" s="60">
        <f>ROUND(($C$4/100)*Datos!G8,2)</f>
        <v>819</v>
      </c>
      <c r="M7" s="60">
        <f>L7</f>
        <v>819</v>
      </c>
      <c r="Q7" s="24"/>
      <c r="R7" s="24"/>
      <c r="S7" s="5"/>
      <c r="T7" s="5" t="s">
        <v>124</v>
      </c>
      <c r="U7" s="5"/>
      <c r="V7" s="5">
        <f>$C$8*Datos!G19</f>
        <v>0</v>
      </c>
      <c r="W7" s="5">
        <f>$C$8*Datos!G20</f>
        <v>0</v>
      </c>
      <c r="X7" s="5"/>
      <c r="Y7" s="5"/>
      <c r="Z7" s="5"/>
      <c r="AA7" s="5"/>
      <c r="AB7" s="5"/>
      <c r="AC7" s="5"/>
    </row>
    <row r="8" spans="1:29" x14ac:dyDescent="0.45">
      <c r="A8" s="24"/>
      <c r="B8" s="8" t="str">
        <f t="shared" si="0"/>
        <v>Trienios C1</v>
      </c>
      <c r="C8" s="18">
        <v>0</v>
      </c>
      <c r="D8" s="5"/>
      <c r="E8" s="5"/>
      <c r="F8" s="5"/>
      <c r="G8" s="5"/>
      <c r="H8" s="5"/>
      <c r="I8" s="5"/>
      <c r="J8" s="42" t="s">
        <v>120</v>
      </c>
      <c r="K8" s="68"/>
      <c r="L8" s="60">
        <f>ROUND(($C$4/100)*Datos!G12,2)</f>
        <v>909.7</v>
      </c>
      <c r="M8" s="60">
        <f>L8</f>
        <v>909.7</v>
      </c>
      <c r="Q8" s="24"/>
      <c r="R8" s="24"/>
      <c r="S8" s="5"/>
      <c r="T8" s="5" t="s">
        <v>125</v>
      </c>
      <c r="U8" s="5"/>
      <c r="V8" s="5">
        <f>$C$9*Datos!G21</f>
        <v>0</v>
      </c>
      <c r="W8" s="5">
        <f>$C$9*Datos!G22</f>
        <v>0</v>
      </c>
      <c r="X8" s="5"/>
      <c r="Y8" s="5"/>
      <c r="Z8" s="5"/>
      <c r="AA8" s="5"/>
      <c r="AB8" s="5"/>
      <c r="AC8" s="5"/>
    </row>
    <row r="9" spans="1:29" x14ac:dyDescent="0.45">
      <c r="A9" s="24"/>
      <c r="B9" s="8" t="str">
        <f t="shared" si="0"/>
        <v>Trienios C2</v>
      </c>
      <c r="C9" s="18">
        <v>0</v>
      </c>
      <c r="D9" s="5"/>
      <c r="E9" s="5"/>
      <c r="F9" s="5"/>
      <c r="G9" s="5"/>
      <c r="H9" s="5"/>
      <c r="I9" s="5"/>
      <c r="J9" s="42" t="s">
        <v>126</v>
      </c>
      <c r="K9" s="68"/>
      <c r="L9" s="60">
        <f>IF(SUM(C6:C10)&gt;0,ROUND(V12*C4/100,2),0)</f>
        <v>0</v>
      </c>
      <c r="M9" s="60">
        <f>W12</f>
        <v>0</v>
      </c>
      <c r="Q9" s="24"/>
      <c r="R9" s="24"/>
      <c r="S9" s="5"/>
      <c r="T9" s="5" t="s">
        <v>127</v>
      </c>
      <c r="U9" s="5"/>
      <c r="V9" s="5">
        <f>$C$10*Datos!G23</f>
        <v>0</v>
      </c>
      <c r="W9" s="5">
        <f>$C$10*Datos!G24</f>
        <v>0</v>
      </c>
      <c r="X9" s="5"/>
      <c r="Y9" s="5"/>
      <c r="Z9" s="5"/>
      <c r="AA9" s="5"/>
      <c r="AB9" s="5"/>
      <c r="AC9" s="5"/>
    </row>
    <row r="10" spans="1:29" ht="14.65" thickBot="1" x14ac:dyDescent="0.5">
      <c r="A10" s="24"/>
      <c r="B10" s="12" t="str">
        <f t="shared" si="0"/>
        <v>Trienios agrupaciones especiales</v>
      </c>
      <c r="C10" s="19">
        <v>0</v>
      </c>
      <c r="D10" s="5"/>
      <c r="E10" s="5"/>
      <c r="F10" s="5"/>
      <c r="G10" s="5"/>
      <c r="H10" s="5"/>
      <c r="I10" s="5"/>
      <c r="J10" s="42" t="s">
        <v>153</v>
      </c>
      <c r="K10" s="68"/>
      <c r="L10" s="60">
        <f>IF(C12&gt;0,ROUND(N13*C4/100,2),0)</f>
        <v>0</v>
      </c>
      <c r="M10" s="60">
        <f>L10</f>
        <v>0</v>
      </c>
      <c r="Q10" s="24"/>
      <c r="R10" s="24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4.65" thickBot="1" x14ac:dyDescent="0.5">
      <c r="A11" s="5"/>
      <c r="B11" s="133" t="s">
        <v>284</v>
      </c>
      <c r="C11" s="134" t="s">
        <v>285</v>
      </c>
      <c r="D11" s="5"/>
      <c r="E11" s="5"/>
      <c r="F11" s="5"/>
      <c r="G11" s="5"/>
      <c r="H11" s="5"/>
      <c r="I11" s="5"/>
      <c r="J11" s="42" t="s">
        <v>24</v>
      </c>
      <c r="K11" s="68"/>
      <c r="L11" s="60">
        <f>IF(C13=D14,ROUND(C4*MAX(E27:E32,G27:G32)/100,2),0)</f>
        <v>0</v>
      </c>
      <c r="M11" s="60">
        <f t="shared" ref="M11:M25" si="1">L11</f>
        <v>0</v>
      </c>
      <c r="Q11" s="24"/>
      <c r="R11" s="24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4.65" thickBot="1" x14ac:dyDescent="0.5">
      <c r="A12" s="5"/>
      <c r="B12" s="27" t="s">
        <v>129</v>
      </c>
      <c r="C12" s="20">
        <v>0</v>
      </c>
      <c r="D12" s="5" t="str">
        <f>IF(OR(C13=D14,C13=D18,C13=D19,C13=D20),D14,"")</f>
        <v/>
      </c>
      <c r="E12" s="5"/>
      <c r="F12" s="5"/>
      <c r="G12" s="5"/>
      <c r="H12" s="5"/>
      <c r="I12" s="5"/>
      <c r="J12" s="42" t="s">
        <v>39</v>
      </c>
      <c r="K12" s="68"/>
      <c r="L12" s="60">
        <f>IF(C13=D16,ROUND(C4*MAX(F27:F31,H27:H31)/100,2),0)</f>
        <v>0</v>
      </c>
      <c r="M12" s="60">
        <f t="shared" si="1"/>
        <v>0</v>
      </c>
      <c r="Q12" s="24"/>
      <c r="R12" s="24"/>
      <c r="S12" s="5"/>
      <c r="T12" s="5" t="s">
        <v>128</v>
      </c>
      <c r="U12" s="5"/>
      <c r="V12" s="5">
        <f>SUM(V4:V9)</f>
        <v>0</v>
      </c>
      <c r="W12" s="5">
        <f>SUM(W4:W9)</f>
        <v>0</v>
      </c>
      <c r="X12" s="5"/>
      <c r="Y12" s="5"/>
      <c r="Z12" s="5"/>
      <c r="AA12" s="5"/>
      <c r="AB12" s="5"/>
      <c r="AC12" s="5"/>
    </row>
    <row r="13" spans="1:29" ht="14.65" thickBot="1" x14ac:dyDescent="0.5">
      <c r="A13" s="5"/>
      <c r="B13" s="27" t="s">
        <v>280</v>
      </c>
      <c r="C13" s="20" t="s">
        <v>141</v>
      </c>
      <c r="D13" s="5" t="s">
        <v>141</v>
      </c>
      <c r="E13" s="5"/>
      <c r="F13" s="5" t="s">
        <v>27</v>
      </c>
      <c r="G13" s="5" t="s">
        <v>136</v>
      </c>
      <c r="H13" s="5" t="s">
        <v>143</v>
      </c>
      <c r="I13" s="5"/>
      <c r="J13" s="42" t="s">
        <v>40</v>
      </c>
      <c r="K13" s="68"/>
      <c r="L13" s="99">
        <f>IF(C13=D15,ROUND(C4*MAX(F27:F31,H27:H31)/100,2),0)</f>
        <v>0</v>
      </c>
      <c r="M13" s="60">
        <f t="shared" si="1"/>
        <v>0</v>
      </c>
      <c r="N13" s="5">
        <f>IF(C12=1,Datos!J26,IF(C12=2,Datos!J27,IF(C12=3,Datos!J28,IF(C12=4,Datos!J29,IF(C12=5,Datos!J30,0)))))</f>
        <v>0</v>
      </c>
      <c r="Q13" s="24"/>
      <c r="R13" s="24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4.65" thickBot="1" x14ac:dyDescent="0.5">
      <c r="A14" s="5"/>
      <c r="B14" s="27" t="s">
        <v>130</v>
      </c>
      <c r="C14" s="20"/>
      <c r="D14" s="5" t="s">
        <v>132</v>
      </c>
      <c r="E14" s="5"/>
      <c r="F14" s="5" t="s">
        <v>28</v>
      </c>
      <c r="G14" s="5" t="s">
        <v>137</v>
      </c>
      <c r="H14" s="5" t="s">
        <v>144</v>
      </c>
      <c r="I14" s="5"/>
      <c r="J14" s="42" t="s">
        <v>154</v>
      </c>
      <c r="K14" s="68"/>
      <c r="L14" s="60">
        <f>IF(C13=D17,ROUND(Datos!G77*'Catedráticos EOI'!C4/100,2),0)</f>
        <v>0</v>
      </c>
      <c r="M14" s="60">
        <f t="shared" si="1"/>
        <v>0</v>
      </c>
      <c r="Q14" s="24"/>
      <c r="R14" s="24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4.65" thickBot="1" x14ac:dyDescent="0.5">
      <c r="A15" s="5"/>
      <c r="B15" s="27" t="s">
        <v>53</v>
      </c>
      <c r="C15" s="20" t="s">
        <v>144</v>
      </c>
      <c r="D15" s="5" t="s">
        <v>133</v>
      </c>
      <c r="E15" s="5"/>
      <c r="F15" s="5" t="s">
        <v>29</v>
      </c>
      <c r="G15" s="5" t="s">
        <v>138</v>
      </c>
      <c r="H15" s="5"/>
      <c r="I15" s="5"/>
      <c r="J15" s="42" t="s">
        <v>279</v>
      </c>
      <c r="K15" s="68"/>
      <c r="L15" s="60">
        <f>IF(D21&gt;0,ROUND(C4*MAX(E27:E33,G27:G33)*D21/100,2),0)</f>
        <v>0</v>
      </c>
      <c r="M15" s="60">
        <f t="shared" si="1"/>
        <v>0</v>
      </c>
      <c r="Q15" s="24"/>
      <c r="R15" s="24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.1499999999999999" hidden="1" customHeight="1" thickBot="1" x14ac:dyDescent="0.5">
      <c r="A16" s="5"/>
      <c r="B16" s="27" t="s">
        <v>324</v>
      </c>
      <c r="C16" s="20" t="s">
        <v>144</v>
      </c>
      <c r="D16" s="5" t="s">
        <v>134</v>
      </c>
      <c r="E16" s="5"/>
      <c r="F16" s="5" t="s">
        <v>30</v>
      </c>
      <c r="G16" s="5" t="s">
        <v>139</v>
      </c>
      <c r="H16" s="5" t="s">
        <v>144</v>
      </c>
      <c r="I16" s="5"/>
      <c r="J16" s="42" t="str">
        <f>B17</f>
        <v>-</v>
      </c>
      <c r="K16" s="68"/>
      <c r="L16" s="60">
        <f>IF(C17="Sí",ROUND(Datos!G86*'Catedráticos EOI'!C4/100,2),0)</f>
        <v>0</v>
      </c>
      <c r="M16" s="60">
        <f t="shared" si="1"/>
        <v>0</v>
      </c>
      <c r="Q16" s="24"/>
      <c r="R16" s="24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3.9" hidden="1" customHeight="1" thickBot="1" x14ac:dyDescent="0.5">
      <c r="A17" s="5"/>
      <c r="B17" s="27" t="s">
        <v>324</v>
      </c>
      <c r="C17" s="20" t="s">
        <v>144</v>
      </c>
      <c r="D17" s="5" t="s">
        <v>142</v>
      </c>
      <c r="E17" s="5"/>
      <c r="F17" s="5" t="s">
        <v>31</v>
      </c>
      <c r="G17" s="5"/>
      <c r="H17" s="5" t="s">
        <v>145</v>
      </c>
      <c r="I17" s="5"/>
      <c r="J17" s="42" t="str">
        <f>B18</f>
        <v>.</v>
      </c>
      <c r="K17" s="68"/>
      <c r="L17" s="60">
        <f>IF(C18="Sí",ROUND(Datos!G87*'Catedráticos EOI'!C4/100,2),0)</f>
        <v>0</v>
      </c>
      <c r="M17" s="60">
        <f t="shared" si="1"/>
        <v>0</v>
      </c>
      <c r="Q17" s="24"/>
      <c r="R17" s="24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14.65" hidden="1" thickBot="1" x14ac:dyDescent="0.5">
      <c r="A18" s="5"/>
      <c r="B18" s="27" t="s">
        <v>325</v>
      </c>
      <c r="C18" s="20" t="s">
        <v>144</v>
      </c>
      <c r="D18" s="5" t="s">
        <v>281</v>
      </c>
      <c r="E18" s="5"/>
      <c r="F18" s="5" t="s">
        <v>32</v>
      </c>
      <c r="G18" s="5"/>
      <c r="H18" s="5" t="s">
        <v>146</v>
      </c>
      <c r="I18" s="5"/>
      <c r="J18" s="42" t="str">
        <f>B19</f>
        <v>.</v>
      </c>
      <c r="K18" s="68"/>
      <c r="L18" s="60">
        <f>IF(C19="Sí",ROUND(Datos!G89*'Catedráticos EOI'!C4/100,2),0)</f>
        <v>0</v>
      </c>
      <c r="M18" s="60">
        <f t="shared" si="1"/>
        <v>0</v>
      </c>
      <c r="Q18" s="24"/>
      <c r="R18" s="24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14.65" hidden="1" thickBot="1" x14ac:dyDescent="0.5">
      <c r="A19" s="5"/>
      <c r="B19" s="28" t="s">
        <v>325</v>
      </c>
      <c r="C19" s="114" t="s">
        <v>144</v>
      </c>
      <c r="D19" s="5" t="s">
        <v>282</v>
      </c>
      <c r="E19" s="5"/>
      <c r="F19" s="5"/>
      <c r="G19" s="5"/>
      <c r="H19" s="5" t="s">
        <v>147</v>
      </c>
      <c r="I19" s="5"/>
      <c r="J19" s="42" t="str">
        <f>B20</f>
        <v>.</v>
      </c>
      <c r="K19" s="68"/>
      <c r="L19" s="60">
        <f>IF(C20="Sí",ROUND(Datos!G90*'Catedráticos EOI'!C4/100,2),0)</f>
        <v>0</v>
      </c>
      <c r="M19" s="60">
        <f t="shared" si="1"/>
        <v>0</v>
      </c>
      <c r="Q19" s="24"/>
      <c r="R19" s="24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15.75" customHeight="1" thickBot="1" x14ac:dyDescent="0.5">
      <c r="A20" s="5"/>
      <c r="B20" s="133" t="s">
        <v>325</v>
      </c>
      <c r="C20" s="134" t="s">
        <v>144</v>
      </c>
      <c r="D20" s="5" t="s">
        <v>283</v>
      </c>
      <c r="E20" s="5"/>
      <c r="F20" s="5"/>
      <c r="G20" s="5"/>
      <c r="H20" s="5"/>
      <c r="I20" s="5"/>
      <c r="J20" s="42" t="s">
        <v>53</v>
      </c>
      <c r="K20" s="68"/>
      <c r="L20" s="60">
        <f>IF(C15="Sí",ROUND(Datos!G91*'Catedráticos EOI'!C4/100,2),0)</f>
        <v>0</v>
      </c>
      <c r="M20" s="60">
        <f t="shared" si="1"/>
        <v>0</v>
      </c>
      <c r="Q20" s="24"/>
      <c r="R20" s="24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0.4" hidden="1" customHeight="1" thickBot="1" x14ac:dyDescent="0.45">
      <c r="A21" s="5"/>
      <c r="B21" s="133" t="s">
        <v>325</v>
      </c>
      <c r="C21" s="134" t="s">
        <v>144</v>
      </c>
      <c r="D21" s="5">
        <f>IF(C13=D18,0.25,IF(C13=D19,0.4,IF(C13=D20,0.6,0)))</f>
        <v>0</v>
      </c>
      <c r="E21" s="5"/>
      <c r="F21" s="5"/>
      <c r="G21" s="5"/>
      <c r="H21" s="5"/>
      <c r="I21" s="5"/>
      <c r="J21" s="42" t="s">
        <v>276</v>
      </c>
      <c r="K21" s="68"/>
      <c r="L21" s="60">
        <f>IF(C22="Sí",ROUND(Datos!G97*'Catedráticos EOI'!C4/100,2),0)</f>
        <v>0</v>
      </c>
      <c r="M21" s="60">
        <f t="shared" si="1"/>
        <v>0</v>
      </c>
      <c r="Q21" s="24"/>
      <c r="R21" s="24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3.75" hidden="1" customHeight="1" thickBot="1" x14ac:dyDescent="0.45">
      <c r="A22" s="5"/>
      <c r="B22" s="133" t="s">
        <v>325</v>
      </c>
      <c r="C22" s="134" t="s">
        <v>144</v>
      </c>
      <c r="D22" s="5"/>
      <c r="E22" s="5"/>
      <c r="F22" s="5"/>
      <c r="G22" s="5"/>
      <c r="H22" s="5"/>
      <c r="I22" s="5"/>
      <c r="J22" s="42" t="s">
        <v>158</v>
      </c>
      <c r="K22" s="68"/>
      <c r="L22" s="60">
        <f>IF(C23="Sí",ROUND(C4*SUM(D23:D25)/100,2),0)</f>
        <v>0</v>
      </c>
      <c r="M22" s="60">
        <f>L22</f>
        <v>0</v>
      </c>
      <c r="Q22" s="24"/>
      <c r="R22" s="24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idden="1" x14ac:dyDescent="0.45">
      <c r="A23" s="5"/>
      <c r="B23" s="133" t="s">
        <v>325</v>
      </c>
      <c r="C23" s="134" t="s">
        <v>144</v>
      </c>
      <c r="D23" s="5">
        <f>IF(C23="No",0,Datos!G102)</f>
        <v>0</v>
      </c>
      <c r="E23" s="5"/>
      <c r="F23" s="5"/>
      <c r="G23" s="5"/>
      <c r="H23" s="5"/>
      <c r="I23" s="5"/>
      <c r="J23" s="42" t="s">
        <v>159</v>
      </c>
      <c r="K23" s="68"/>
      <c r="L23" s="60">
        <f>IF(C26="Sí",ROUND(C4*MIN(D27:D36)/100,2),0)</f>
        <v>0</v>
      </c>
      <c r="M23" s="60">
        <f>L23</f>
        <v>0</v>
      </c>
      <c r="Q23" s="24"/>
      <c r="R23" s="24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2.4" hidden="1" customHeight="1" thickBot="1" x14ac:dyDescent="0.45">
      <c r="A24" s="5"/>
      <c r="B24" s="136" t="s">
        <v>324</v>
      </c>
      <c r="C24" s="134" t="s">
        <v>144</v>
      </c>
      <c r="D24" s="5">
        <f>IF(AND(C23="Sí",C24="Sí"),Datos!G103,0)</f>
        <v>0</v>
      </c>
      <c r="E24" s="5"/>
      <c r="F24" s="5"/>
      <c r="G24" s="5"/>
      <c r="H24" s="5"/>
      <c r="I24" s="5"/>
      <c r="K24" s="69"/>
      <c r="L24" s="60">
        <f>IF(D21&gt;0,ROUND(C4*MAX(E27:E33,G27:G33)*D21/100,2),0)</f>
        <v>0</v>
      </c>
      <c r="M24" s="60">
        <f>L24</f>
        <v>0</v>
      </c>
      <c r="Q24" s="24"/>
      <c r="R24" s="24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3.75" hidden="1" customHeight="1" thickBot="1" x14ac:dyDescent="0.5">
      <c r="A25" s="5"/>
      <c r="B25" s="136" t="s">
        <v>324</v>
      </c>
      <c r="C25" s="134">
        <v>0</v>
      </c>
      <c r="D25" s="5">
        <f>IF(C23="Sí",C25*Datos!G104,0)</f>
        <v>0</v>
      </c>
      <c r="E25" s="5"/>
      <c r="F25" s="5"/>
      <c r="G25" s="5"/>
      <c r="H25" s="5"/>
      <c r="I25" s="5"/>
      <c r="J25" s="61"/>
      <c r="K25" s="70"/>
      <c r="L25" s="62">
        <f>IF(C21="Sí",ROUND(Datos!G92*C4/100,2),0)</f>
        <v>0</v>
      </c>
      <c r="M25" s="62">
        <f t="shared" si="1"/>
        <v>0</v>
      </c>
      <c r="Q25" s="24"/>
      <c r="R25" s="24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x14ac:dyDescent="0.45">
      <c r="A26" s="5"/>
      <c r="B26" s="133" t="s">
        <v>151</v>
      </c>
      <c r="C26" s="134" t="s">
        <v>144</v>
      </c>
      <c r="D26" s="5"/>
      <c r="E26" s="5" t="s">
        <v>131</v>
      </c>
      <c r="F26" s="5" t="s">
        <v>160</v>
      </c>
      <c r="G26" s="5" t="s">
        <v>286</v>
      </c>
      <c r="H26" s="5" t="s">
        <v>287</v>
      </c>
      <c r="I26" s="5"/>
      <c r="J26" s="44" t="s">
        <v>168</v>
      </c>
      <c r="K26" s="45"/>
      <c r="L26" s="47"/>
      <c r="M26" s="45"/>
      <c r="Q26" s="24"/>
      <c r="R26" s="24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x14ac:dyDescent="0.45">
      <c r="A27" s="5"/>
      <c r="B27" s="136" t="s">
        <v>152</v>
      </c>
      <c r="C27" s="134">
        <v>0</v>
      </c>
      <c r="D27" s="5">
        <f>IF($C$27&lt;=50,Datos!G107,"")</f>
        <v>16.559999999999999</v>
      </c>
      <c r="E27" s="5" t="str">
        <f>IF(AND(C11=D5,$D12=$D$14,$C$14=F13),Datos!G64,"")</f>
        <v/>
      </c>
      <c r="F27" s="5" t="str">
        <f>IF(AND(OR($C$13=$D$15,$C$13=$D$16),$C$14=F13,C11=D5),Datos!G68,"")</f>
        <v/>
      </c>
      <c r="G27" s="5" t="str">
        <f>IF(AND(C11=D6,$D12=$D$14,$C$14=F13),Datos!G32,"")</f>
        <v/>
      </c>
      <c r="H27" s="5" t="str">
        <f>IF(AND(OR($C$13=$D$15,$C$13=$D$16),$C$14=F13,C11=D6),Datos!G38,"")</f>
        <v/>
      </c>
      <c r="I27" s="5"/>
      <c r="J27" s="9" t="s">
        <v>237</v>
      </c>
      <c r="K27" s="46"/>
      <c r="L27" s="22">
        <f>IF(OR(C29="Funcionario/a de carrera",C29="Funcionario/a en prácticas"),51.68,0)</f>
        <v>0</v>
      </c>
      <c r="M27" s="56">
        <f>L27</f>
        <v>0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4.65" thickBot="1" x14ac:dyDescent="0.5">
      <c r="A28" s="5"/>
      <c r="B28" s="154" t="s">
        <v>239</v>
      </c>
      <c r="C28" s="155"/>
      <c r="D28" s="5">
        <f>IF($C$27&lt;=100,Datos!G108,"")</f>
        <v>33.119999999999997</v>
      </c>
      <c r="E28" s="5" t="str">
        <f>IF(AND(C11=D5,$D$12=$D$14,$C$14=F14),Datos!G65,"")</f>
        <v/>
      </c>
      <c r="F28" s="5" t="str">
        <f>IF(AND(OR($C$13=$D$15,$C$13=$D$16),$C$14=F14,C11=D5),Datos!G69,"")</f>
        <v/>
      </c>
      <c r="G28" s="5" t="str">
        <f>IF(AND(C11=D6,$D12=$D$14,$C$14=F14),Datos!G33,"")</f>
        <v/>
      </c>
      <c r="H28" s="5" t="str">
        <f>IF(AND(OR($C$13=$D$15,$C$13=$D$16),$C$14=F14,C11=D6),Datos!G39,"")</f>
        <v/>
      </c>
      <c r="I28" s="5"/>
      <c r="J28" s="9" t="s">
        <v>238</v>
      </c>
      <c r="K28" s="46"/>
      <c r="L28" s="22">
        <f>IF(AND(L27&gt;0,C30&lt;2011,C30&gt;0),118.04,0)</f>
        <v>0</v>
      </c>
      <c r="M28" s="56">
        <f>L28</f>
        <v>0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4.65" thickBot="1" x14ac:dyDescent="0.5">
      <c r="A29" s="5"/>
      <c r="B29" s="27" t="s">
        <v>164</v>
      </c>
      <c r="C29" s="20" t="s">
        <v>167</v>
      </c>
      <c r="D29" s="5">
        <f>IF($C$27&lt;=150,Datos!G109,"")</f>
        <v>49.68</v>
      </c>
      <c r="E29" s="5" t="str">
        <f>IF(AND(C11=D5,$D$12=$D$14,$C$14=F15),Datos!G66,"")</f>
        <v/>
      </c>
      <c r="F29" s="5" t="str">
        <f>IF(AND(OR($C$13=$D$15,$C$13=$D$16),$C$14=F15,C11=D5),Datos!G70,"")</f>
        <v/>
      </c>
      <c r="G29" s="5" t="str">
        <f>IF(AND(C11=D6,$D12=$D$14,$C$14=F15),Datos!G34,"")</f>
        <v/>
      </c>
      <c r="H29" s="5" t="str">
        <f>IF(AND(OR($C$13=$D$15,$C$13=$D$16),$C$14=F15,C11=D6),Datos!G40,"")</f>
        <v/>
      </c>
      <c r="I29" s="5"/>
      <c r="J29" s="9" t="s">
        <v>169</v>
      </c>
      <c r="K29" s="46"/>
      <c r="L29" s="22">
        <f>IF(OR(C29=A36,AND(C29=A35,C30&gt;=2011)),(L4+(M4/6))*L68,0)</f>
        <v>0</v>
      </c>
      <c r="M29" s="11">
        <v>0</v>
      </c>
      <c r="P29" s="5"/>
      <c r="Q29" s="5"/>
      <c r="R29" s="5"/>
      <c r="S29" s="5"/>
      <c r="T29" s="5"/>
      <c r="U29" s="5"/>
      <c r="V29" s="5"/>
      <c r="W29" s="5"/>
    </row>
    <row r="30" spans="1:29" ht="14.65" thickBot="1" x14ac:dyDescent="0.5">
      <c r="A30" s="5"/>
      <c r="B30" s="27" t="str">
        <f>IF(C29=A35,"¿En qué año aprobaste la oposición?","")</f>
        <v/>
      </c>
      <c r="C30" s="20"/>
      <c r="D30" s="5">
        <f>IF($C$27&lt;=200,Datos!G110,"")</f>
        <v>66.239999999999995</v>
      </c>
      <c r="E30" s="5" t="str">
        <f>IF(AND(C11=D5,$D$12=$D$14,$C$14=F16),Datos!G67,"")</f>
        <v/>
      </c>
      <c r="F30" s="5" t="str">
        <f>IF(AND(OR($C$13=$D$15,$C$13=$D$16),$C$14=F16,C11=D5),Datos!G71,"")</f>
        <v/>
      </c>
      <c r="G30" s="5" t="str">
        <f>IF(AND(C11=D6,$D12=$D$14,$C$14=F13),Datos!G35,"")</f>
        <v/>
      </c>
      <c r="H30" s="5" t="str">
        <f>IF(AND(OR($C$13=$D$15,$C$13=$D$16),$C$14=F16,C11=D6),Datos!G41,"")</f>
        <v/>
      </c>
      <c r="I30" s="5"/>
      <c r="J30" s="9" t="s">
        <v>170</v>
      </c>
      <c r="K30" s="46"/>
      <c r="L30" s="53">
        <f>IF(C29=A37,L4*0.0647+M4*0.0647/6,0)</f>
        <v>223.31140299999996</v>
      </c>
      <c r="M30" s="11">
        <v>0</v>
      </c>
      <c r="P30" s="5"/>
      <c r="Q30" s="5"/>
      <c r="R30" s="5"/>
      <c r="S30" s="5"/>
      <c r="T30" s="5"/>
      <c r="U30" s="5"/>
      <c r="V30" s="5"/>
      <c r="W30" s="5"/>
    </row>
    <row r="31" spans="1:29" ht="14.65" thickBot="1" x14ac:dyDescent="0.5">
      <c r="A31" s="5"/>
      <c r="B31" s="166" t="s">
        <v>175</v>
      </c>
      <c r="C31" s="167"/>
      <c r="D31" s="5">
        <f>IF($C$27&lt;=250,Datos!G111,"")</f>
        <v>82.8</v>
      </c>
      <c r="E31" s="5" t="str">
        <f>IF(AND($C$13=$D$14,$C$15&lt;&gt;"",$C$15&lt;&gt;$G$13,$C$14=F17),Datos!G36,"")</f>
        <v/>
      </c>
      <c r="F31" s="5"/>
      <c r="G31" s="5" t="str">
        <f>IF(AND(C11=D6,$D12=$D$14,$C$14=F16),Datos!G36,"")</f>
        <v/>
      </c>
      <c r="H31" s="5" t="str">
        <f>IF(AND(OR($C$13=$D$15,$C$13=$D$16),$C$14=F17,C11=D6),Datos!G42,"")</f>
        <v/>
      </c>
      <c r="I31" s="5"/>
      <c r="J31" s="16" t="s">
        <v>171</v>
      </c>
      <c r="K31" s="55">
        <f>L61</f>
        <v>0.2228896215837218</v>
      </c>
      <c r="L31" s="54">
        <f>L4*K31</f>
        <v>675.26193975761191</v>
      </c>
      <c r="M31" s="57">
        <f>M4*K31</f>
        <v>564.23616145432845</v>
      </c>
      <c r="O31" s="5"/>
      <c r="P31" s="5"/>
      <c r="Q31" s="5"/>
      <c r="R31" s="5"/>
      <c r="S31" s="5"/>
      <c r="T31" s="5"/>
      <c r="U31" s="5"/>
      <c r="V31" s="5"/>
      <c r="W31" s="5"/>
    </row>
    <row r="32" spans="1:29" ht="14.65" thickBot="1" x14ac:dyDescent="0.5">
      <c r="A32" s="5"/>
      <c r="B32" s="27" t="s">
        <v>177</v>
      </c>
      <c r="C32" s="20" t="s">
        <v>144</v>
      </c>
      <c r="D32" s="5">
        <f>IF($C$27&lt;=300,Datos!G112,"")</f>
        <v>99.36</v>
      </c>
      <c r="E32" s="5" t="str">
        <f>IF(AND($C$13=$D$14,$C$15&lt;&gt;"",$C$15&lt;&gt;$G$13,$C$14=F18),Datos!G37,"")</f>
        <v/>
      </c>
      <c r="F32" s="5"/>
      <c r="G32" s="5" t="str">
        <f>IF(AND(C11=D6,$D12=$D$14,$C$14=F17),Datos!G37,"")</f>
        <v/>
      </c>
      <c r="H32" s="5"/>
      <c r="I32" s="5"/>
      <c r="O32" s="5" t="s">
        <v>182</v>
      </c>
      <c r="P32" s="5"/>
      <c r="Q32" s="5"/>
      <c r="R32" s="5"/>
      <c r="S32" s="5"/>
      <c r="T32" s="5"/>
      <c r="U32" s="5"/>
      <c r="V32" s="5"/>
      <c r="W32" s="5"/>
    </row>
    <row r="33" spans="1:23" ht="14.65" thickBot="1" x14ac:dyDescent="0.5">
      <c r="A33" s="5"/>
      <c r="B33" s="27" t="s">
        <v>197</v>
      </c>
      <c r="C33" s="148">
        <v>0</v>
      </c>
      <c r="D33" s="5">
        <f>IF($C$27&lt;=350,Datos!G113,"")</f>
        <v>115.92</v>
      </c>
      <c r="E33" s="5"/>
      <c r="F33" s="5" t="str">
        <f>IF(AND(OR($C$13=$D$15,$C$13=$D$16),$C$15&lt;&gt;"",$C$15&lt;&gt;$G$13,$C$14=F19),Datos!G44,"")</f>
        <v/>
      </c>
      <c r="G33" s="5" t="str">
        <f>IF(AND(C11=D6,$D12=$D$14,$C$14=F18),Datos!G38,"")</f>
        <v/>
      </c>
      <c r="H33" s="5"/>
      <c r="I33" s="5"/>
      <c r="J33" s="25"/>
      <c r="K33" s="25"/>
      <c r="L33" s="25"/>
      <c r="M33" s="25"/>
      <c r="O33" s="5" t="s">
        <v>183</v>
      </c>
      <c r="P33" s="5">
        <v>2400</v>
      </c>
      <c r="Q33" s="5">
        <v>2400</v>
      </c>
      <c r="R33" s="5"/>
      <c r="S33" s="5"/>
      <c r="T33" s="5"/>
      <c r="U33" s="5"/>
      <c r="V33" s="5"/>
      <c r="W33" s="5"/>
    </row>
    <row r="34" spans="1:23" ht="14.65" thickBot="1" x14ac:dyDescent="0.5">
      <c r="A34" s="5"/>
      <c r="B34" s="27" t="s">
        <v>196</v>
      </c>
      <c r="C34" s="148">
        <v>0</v>
      </c>
      <c r="D34" s="5">
        <f>IF($C$27&lt;=450,Datos!G114,"")</f>
        <v>132.47999999999999</v>
      </c>
      <c r="E34" s="5"/>
      <c r="F34" s="5"/>
      <c r="G34" s="5"/>
      <c r="H34" s="5"/>
      <c r="I34" s="5"/>
      <c r="J34" s="85" t="s">
        <v>173</v>
      </c>
      <c r="K34" s="86"/>
      <c r="L34" s="87"/>
      <c r="M34" s="25"/>
      <c r="O34" s="5" t="s">
        <v>184</v>
      </c>
      <c r="P34" s="5">
        <v>2700</v>
      </c>
      <c r="Q34" s="5">
        <f>Q33+P34</f>
        <v>5100</v>
      </c>
      <c r="R34" s="5"/>
      <c r="S34" s="5"/>
      <c r="T34" s="5"/>
      <c r="U34" s="5"/>
      <c r="V34" s="5"/>
      <c r="W34" s="5"/>
    </row>
    <row r="35" spans="1:23" ht="14.65" thickBot="1" x14ac:dyDescent="0.5">
      <c r="A35" s="5" t="s">
        <v>165</v>
      </c>
      <c r="B35" s="28" t="s">
        <v>180</v>
      </c>
      <c r="C35" s="20">
        <v>0</v>
      </c>
      <c r="D35" s="5">
        <f>IF($C$27&lt;=450,Datos!G115,"")</f>
        <v>149.04</v>
      </c>
      <c r="E35" s="5"/>
      <c r="F35" s="5"/>
      <c r="G35" s="5"/>
      <c r="H35" s="5"/>
      <c r="I35" s="5"/>
      <c r="J35" s="42" t="s">
        <v>174</v>
      </c>
      <c r="K35" s="43"/>
      <c r="L35" s="81">
        <f>L4*12+M4*2</f>
        <v>41417.879999999997</v>
      </c>
      <c r="O35" s="5" t="s">
        <v>185</v>
      </c>
      <c r="P35" s="5">
        <v>4000</v>
      </c>
      <c r="Q35" s="5">
        <f>Q34+P35</f>
        <v>9100</v>
      </c>
      <c r="R35" s="5"/>
      <c r="S35" s="5"/>
      <c r="T35" s="5"/>
      <c r="U35" s="5"/>
      <c r="V35" s="5"/>
      <c r="W35" s="5"/>
    </row>
    <row r="36" spans="1:23" ht="14.75" customHeight="1" thickBot="1" x14ac:dyDescent="0.5">
      <c r="A36" s="5" t="s">
        <v>166</v>
      </c>
      <c r="B36" s="27" t="s">
        <v>179</v>
      </c>
      <c r="C36" s="20">
        <v>0</v>
      </c>
      <c r="D36" s="5">
        <f>IF($C$27&lt;=1000050,Datos!G116,"")</f>
        <v>165.6</v>
      </c>
      <c r="E36" s="5"/>
      <c r="F36" s="5"/>
      <c r="G36" s="5"/>
      <c r="H36" s="5"/>
      <c r="I36" s="5"/>
      <c r="J36" s="9" t="s">
        <v>265</v>
      </c>
      <c r="K36" s="10"/>
      <c r="L36" s="11">
        <f>IF(AND(C47="Sí",L35&lt;33007.2),TRUNC(L35*0.02),0)</f>
        <v>0</v>
      </c>
      <c r="M36" s="24"/>
      <c r="N36" s="24"/>
      <c r="O36" s="5" t="s">
        <v>186</v>
      </c>
      <c r="P36" s="5">
        <v>4500</v>
      </c>
      <c r="Q36" s="5"/>
      <c r="R36" s="5"/>
      <c r="S36" s="5"/>
      <c r="T36" s="5"/>
      <c r="U36" s="5"/>
      <c r="V36" s="5"/>
      <c r="W36" s="5"/>
    </row>
    <row r="37" spans="1:23" ht="14.75" customHeight="1" thickBot="1" x14ac:dyDescent="0.5">
      <c r="A37" s="5" t="s">
        <v>167</v>
      </c>
      <c r="B37" s="29" t="s">
        <v>202</v>
      </c>
      <c r="C37" s="20" t="s">
        <v>144</v>
      </c>
      <c r="D37" s="5" t="str">
        <f>IF(B69=A68,"Sí","No")</f>
        <v>No</v>
      </c>
      <c r="E37" s="5"/>
      <c r="F37" s="5"/>
      <c r="G37" s="5"/>
      <c r="H37" s="5"/>
      <c r="I37" s="5"/>
      <c r="J37" s="9" t="s">
        <v>271</v>
      </c>
      <c r="K37" s="10"/>
      <c r="L37" s="11">
        <f>IF(L35-L38&lt;14047.5,6498,IF(L35-L38&lt;19747.5,6498-(1.14*(L35-L38-14047.5)),0))</f>
        <v>0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4.75" customHeight="1" thickBot="1" x14ac:dyDescent="0.5">
      <c r="A38" s="5" t="s">
        <v>188</v>
      </c>
      <c r="B38" s="27" t="s">
        <v>187</v>
      </c>
      <c r="C38" s="20" t="s">
        <v>188</v>
      </c>
      <c r="D38" s="5"/>
      <c r="E38" s="5"/>
      <c r="F38" s="5"/>
      <c r="G38" s="5"/>
      <c r="H38" s="5"/>
      <c r="I38" s="5"/>
      <c r="J38" s="42" t="s">
        <v>242</v>
      </c>
      <c r="K38" s="43"/>
      <c r="L38" s="81">
        <f>SUM(L26:L29)*14+SUM(M26:M29)*2</f>
        <v>0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4.75" customHeight="1" thickBot="1" x14ac:dyDescent="0.5">
      <c r="A39" s="5" t="s">
        <v>190</v>
      </c>
      <c r="B39" s="29" t="s">
        <v>195</v>
      </c>
      <c r="C39" s="20" t="s">
        <v>144</v>
      </c>
      <c r="D39" s="5"/>
      <c r="E39" s="5"/>
      <c r="F39" s="5"/>
      <c r="G39" s="5"/>
      <c r="H39" s="5"/>
      <c r="I39" s="5"/>
      <c r="J39" s="42" t="s">
        <v>247</v>
      </c>
      <c r="K39" s="43"/>
      <c r="L39" s="81">
        <f>C33+2000+M40</f>
        <v>2000</v>
      </c>
      <c r="M39" s="5"/>
      <c r="N39" s="5"/>
      <c r="O39" s="24"/>
      <c r="P39" s="5"/>
      <c r="Q39" s="5"/>
      <c r="R39" s="5"/>
      <c r="S39" s="5"/>
      <c r="T39" s="5"/>
      <c r="U39" s="5"/>
      <c r="V39" s="5"/>
      <c r="W39" s="5"/>
    </row>
    <row r="40" spans="1:23" ht="14.75" customHeight="1" thickBot="1" x14ac:dyDescent="0.5">
      <c r="A40" s="5" t="s">
        <v>189</v>
      </c>
      <c r="B40" s="27" t="s">
        <v>198</v>
      </c>
      <c r="C40" s="20">
        <v>0</v>
      </c>
      <c r="D40" s="5"/>
      <c r="E40" s="5"/>
      <c r="F40" s="5"/>
      <c r="G40" s="5"/>
      <c r="H40" s="5"/>
      <c r="I40" s="5"/>
      <c r="J40" s="42" t="s">
        <v>176</v>
      </c>
      <c r="K40" s="43"/>
      <c r="L40" s="81">
        <f>IF(C32="Sí",1150+5550,5550)</f>
        <v>5550</v>
      </c>
      <c r="M40" s="5">
        <f>IF(AND(C38=A41,C39="No"),3500,IF(OR(C38=A40,C38=A41),7750,0))</f>
        <v>0</v>
      </c>
      <c r="N40" s="5"/>
      <c r="O40" s="24"/>
      <c r="P40" s="5"/>
      <c r="Q40" s="5"/>
      <c r="R40" s="5"/>
      <c r="S40" s="5"/>
      <c r="T40" s="5"/>
      <c r="U40" s="5"/>
      <c r="V40" s="5"/>
      <c r="W40" s="5"/>
    </row>
    <row r="41" spans="1:23" ht="14.75" customHeight="1" x14ac:dyDescent="0.45">
      <c r="A41" s="5" t="s">
        <v>191</v>
      </c>
      <c r="B41" s="168" t="s">
        <v>213</v>
      </c>
      <c r="C41" s="170">
        <v>0</v>
      </c>
      <c r="D41" s="5"/>
      <c r="E41" s="5"/>
      <c r="F41" s="5"/>
      <c r="G41" s="5"/>
      <c r="H41" s="5"/>
      <c r="I41" s="5"/>
      <c r="J41" s="42" t="s">
        <v>178</v>
      </c>
      <c r="K41" s="43"/>
      <c r="L41" s="81">
        <f>SUM(C70:C73)</f>
        <v>0</v>
      </c>
      <c r="M41" s="5"/>
      <c r="N41" s="5"/>
      <c r="O41" s="24"/>
      <c r="P41" s="5"/>
      <c r="Q41" s="5"/>
      <c r="R41" s="5"/>
      <c r="S41" s="5"/>
      <c r="T41" s="5"/>
      <c r="U41" s="5"/>
      <c r="V41" s="5"/>
      <c r="W41" s="5"/>
    </row>
    <row r="42" spans="1:23" ht="14.75" customHeight="1" x14ac:dyDescent="0.45">
      <c r="A42" s="5"/>
      <c r="B42" s="168"/>
      <c r="C42" s="171"/>
      <c r="D42" s="5"/>
      <c r="E42" s="5"/>
      <c r="F42" s="5"/>
      <c r="G42" s="5"/>
      <c r="H42" s="5"/>
      <c r="I42" s="5"/>
      <c r="J42" s="42" t="s">
        <v>181</v>
      </c>
      <c r="K42" s="43"/>
      <c r="L42" s="81">
        <f>IF(C37="no",M48/2+1400*C36,M48+2800*C36)</f>
        <v>0</v>
      </c>
      <c r="M42" s="5"/>
      <c r="N42" s="5"/>
      <c r="O42" s="24"/>
      <c r="P42" s="5"/>
      <c r="Q42" s="5"/>
      <c r="R42" s="5"/>
      <c r="S42" s="5"/>
      <c r="T42" s="5"/>
      <c r="U42" s="5"/>
      <c r="V42" s="5"/>
      <c r="W42" s="5"/>
    </row>
    <row r="43" spans="1:23" ht="14.75" customHeight="1" thickBot="1" x14ac:dyDescent="0.5">
      <c r="A43" s="5"/>
      <c r="B43" s="169"/>
      <c r="C43" s="172"/>
      <c r="D43" s="5"/>
      <c r="E43" s="5"/>
      <c r="F43" s="5"/>
      <c r="G43" s="5"/>
      <c r="H43" s="5"/>
      <c r="I43" s="5"/>
      <c r="J43" s="42" t="s">
        <v>192</v>
      </c>
      <c r="K43" s="43"/>
      <c r="L43" s="81">
        <f>IF(C38=A40,9000,IF(C38=A41,3000,0))</f>
        <v>0</v>
      </c>
      <c r="M43" s="5"/>
      <c r="N43" s="5"/>
      <c r="O43" s="24"/>
      <c r="P43" s="5"/>
      <c r="Q43" s="5"/>
      <c r="R43" s="5"/>
      <c r="S43" s="5"/>
      <c r="T43" s="5"/>
      <c r="U43" s="5"/>
      <c r="V43" s="5"/>
      <c r="W43" s="5"/>
    </row>
    <row r="44" spans="1:23" ht="14.75" customHeight="1" x14ac:dyDescent="0.45">
      <c r="A44" s="5"/>
      <c r="B44" s="173" t="s">
        <v>213</v>
      </c>
      <c r="C44" s="170">
        <v>0</v>
      </c>
      <c r="D44" s="5"/>
      <c r="E44" s="5"/>
      <c r="F44" s="5"/>
      <c r="G44" s="5"/>
      <c r="H44" s="5"/>
      <c r="I44" s="5"/>
      <c r="J44" s="42" t="s">
        <v>193</v>
      </c>
      <c r="K44" s="43"/>
      <c r="L44" s="81">
        <f>SUM(C74:C77)</f>
        <v>0</v>
      </c>
      <c r="M44" s="5"/>
      <c r="N44" s="5"/>
      <c r="O44" s="24"/>
      <c r="P44" s="5"/>
      <c r="Q44" s="5"/>
      <c r="R44" s="5"/>
      <c r="S44" s="5"/>
      <c r="T44" s="5"/>
      <c r="U44" s="5"/>
      <c r="V44" s="5"/>
      <c r="W44" s="5"/>
    </row>
    <row r="45" spans="1:23" ht="14.75" customHeight="1" x14ac:dyDescent="0.45">
      <c r="A45" s="5"/>
      <c r="B45" s="168"/>
      <c r="C45" s="171"/>
      <c r="D45" s="5"/>
      <c r="E45" s="5"/>
      <c r="F45" s="5"/>
      <c r="G45" s="5"/>
      <c r="H45" s="5"/>
      <c r="I45" s="5"/>
      <c r="J45" s="42" t="s">
        <v>194</v>
      </c>
      <c r="K45" s="43"/>
      <c r="L45" s="81">
        <f>IF(C37="Sí",M50,M50/2)</f>
        <v>0</v>
      </c>
      <c r="M45" s="5"/>
      <c r="N45" s="5"/>
      <c r="O45" s="24"/>
      <c r="P45" s="5"/>
      <c r="Q45" s="5"/>
      <c r="R45" s="5"/>
      <c r="S45" s="5"/>
      <c r="T45" s="5"/>
      <c r="U45" s="5"/>
      <c r="V45" s="5"/>
      <c r="W45" s="5"/>
    </row>
    <row r="46" spans="1:23" ht="14.75" customHeight="1" thickBot="1" x14ac:dyDescent="0.5">
      <c r="A46" s="5"/>
      <c r="B46" s="169"/>
      <c r="C46" s="172"/>
      <c r="D46" s="5"/>
      <c r="E46" s="5"/>
      <c r="F46" s="5"/>
      <c r="G46" s="5"/>
      <c r="H46" s="5"/>
      <c r="I46" s="5"/>
      <c r="J46" s="42" t="s">
        <v>212</v>
      </c>
      <c r="K46" s="43"/>
      <c r="L46" s="81">
        <f>IF(OR(C39="Sí",C38=A40),3000,0)</f>
        <v>0</v>
      </c>
      <c r="M46" s="5"/>
      <c r="N46" s="5"/>
      <c r="O46" s="24"/>
      <c r="P46" s="5"/>
      <c r="Q46" s="5"/>
      <c r="R46" s="5"/>
      <c r="S46" s="5"/>
      <c r="T46" s="5"/>
      <c r="U46" s="5"/>
      <c r="V46" s="5"/>
      <c r="W46" s="5"/>
    </row>
    <row r="47" spans="1:23" ht="14.75" customHeight="1" thickBot="1" x14ac:dyDescent="0.5">
      <c r="A47" s="24"/>
      <c r="B47" s="27" t="s">
        <v>273</v>
      </c>
      <c r="C47" s="20" t="s">
        <v>144</v>
      </c>
      <c r="D47" s="5"/>
      <c r="E47" s="5"/>
      <c r="F47" s="5"/>
      <c r="G47" s="5"/>
      <c r="H47" s="5"/>
      <c r="I47" s="5"/>
      <c r="J47" s="9" t="s">
        <v>214</v>
      </c>
      <c r="K47" s="10"/>
      <c r="L47" s="11">
        <f>SUM(L40:L46)</f>
        <v>5550</v>
      </c>
      <c r="M47" s="5"/>
      <c r="N47" s="5"/>
      <c r="O47" s="24"/>
      <c r="P47" s="5"/>
      <c r="Q47" s="5"/>
      <c r="R47" s="5"/>
      <c r="S47" s="5"/>
      <c r="T47" s="5"/>
      <c r="U47" s="5"/>
      <c r="V47" s="5"/>
      <c r="W47" s="5"/>
    </row>
    <row r="48" spans="1:23" ht="14.75" customHeight="1" thickBot="1" x14ac:dyDescent="0.5">
      <c r="A48" s="24"/>
      <c r="B48" s="27" t="s">
        <v>266</v>
      </c>
      <c r="C48" s="149"/>
      <c r="D48" s="5"/>
      <c r="E48" s="5"/>
      <c r="F48" s="5"/>
      <c r="G48" s="5"/>
      <c r="H48" s="5"/>
      <c r="I48" s="5"/>
      <c r="J48" s="9" t="s">
        <v>215</v>
      </c>
      <c r="K48" s="10"/>
      <c r="L48" s="11">
        <f>MAX(0,L35-L38-L39-L37)</f>
        <v>39417.879999999997</v>
      </c>
      <c r="M48" s="5">
        <f>IF(C35=1,Q33,IF(C35=2,Q34,IF(C35=3,Q35,IF(C35&lt;1,0,Q35+4500*(C35-3)))))</f>
        <v>0</v>
      </c>
      <c r="N48" s="5"/>
      <c r="O48" s="24"/>
      <c r="P48" s="5"/>
      <c r="Q48" s="5"/>
      <c r="R48" s="5"/>
      <c r="S48" s="5"/>
      <c r="T48" s="5"/>
      <c r="U48" s="5"/>
      <c r="V48" s="5"/>
      <c r="W48" s="5"/>
    </row>
    <row r="49" spans="1:23" ht="14.75" customHeight="1" thickBot="1" x14ac:dyDescent="0.5">
      <c r="A49" s="24"/>
      <c r="B49" s="30" t="s">
        <v>199</v>
      </c>
      <c r="C49" s="141"/>
      <c r="D49" s="5"/>
      <c r="E49" s="5"/>
      <c r="F49" s="5"/>
      <c r="G49" s="5"/>
      <c r="H49" s="5"/>
      <c r="I49" s="5"/>
      <c r="J49" s="9" t="s">
        <v>216</v>
      </c>
      <c r="K49" s="10"/>
      <c r="L49" s="11">
        <f>IF(L47&gt;12450,0,MAX(0,MIN(12450,L48)-L47))</f>
        <v>6900</v>
      </c>
      <c r="M49" s="5"/>
      <c r="N49" s="5"/>
      <c r="O49" s="24"/>
      <c r="P49" s="5"/>
      <c r="Q49" s="5"/>
      <c r="R49" s="5"/>
      <c r="S49" s="5"/>
      <c r="T49" s="5"/>
      <c r="U49" s="5"/>
      <c r="V49" s="5"/>
      <c r="W49" s="5"/>
    </row>
    <row r="50" spans="1:23" ht="14.75" customHeight="1" thickBot="1" x14ac:dyDescent="0.5">
      <c r="A50" s="24"/>
      <c r="B50" s="30" t="s">
        <v>200</v>
      </c>
      <c r="C50" s="141"/>
      <c r="D50" s="5"/>
      <c r="E50" s="5"/>
      <c r="F50" s="5"/>
      <c r="G50" s="5"/>
      <c r="H50" s="5"/>
      <c r="I50" s="5"/>
      <c r="J50" s="9" t="s">
        <v>217</v>
      </c>
      <c r="K50" s="10"/>
      <c r="L50" s="11">
        <f>IF(IF(L47&gt;20200,0,IF(L48&gt;20200,MIN(20200-L47,20200-12450),MIN(L48-L47,L48-12450)))&lt;0,0,IF(L47&gt;20200,0,IF(L48&gt;20200,MIN(20200-L47,20200-12450),MIN(L48-L47,L48-12450))))</f>
        <v>7750</v>
      </c>
      <c r="M50" s="5">
        <f>C40*12000+C41*6000+C44*3000</f>
        <v>0</v>
      </c>
      <c r="N50" s="5"/>
      <c r="O50" s="24"/>
      <c r="P50" s="5"/>
      <c r="Q50" s="5"/>
      <c r="R50" s="5"/>
      <c r="S50" s="5"/>
      <c r="T50" s="5"/>
      <c r="U50" s="5"/>
      <c r="V50" s="5"/>
      <c r="W50" s="5"/>
    </row>
    <row r="51" spans="1:23" ht="14.75" customHeight="1" thickBot="1" x14ac:dyDescent="0.5">
      <c r="A51" s="24"/>
      <c r="B51" s="30" t="s">
        <v>207</v>
      </c>
      <c r="C51" s="20"/>
      <c r="D51" s="5"/>
      <c r="E51" s="5"/>
      <c r="F51" s="5"/>
      <c r="G51" s="5"/>
      <c r="H51" s="5"/>
      <c r="I51" s="5"/>
      <c r="J51" s="9" t="s">
        <v>218</v>
      </c>
      <c r="K51" s="10"/>
      <c r="L51" s="11">
        <f>IF(IF(L47&gt;35200,0,IF(L48&gt;35200,MIN(35200-L47,35200-20200),MIN(L48-L47,L48-20200)))&lt;0,0,IF(L47&gt;35200,0,IF(L48&gt;35200,MIN(35200-L47,35200-20200),MIN(L48-L47,L48-20200))))</f>
        <v>15000</v>
      </c>
      <c r="M51" s="5"/>
      <c r="N51" s="5"/>
      <c r="O51" s="24"/>
      <c r="P51" s="5"/>
      <c r="Q51" s="5"/>
      <c r="R51" s="5"/>
      <c r="S51" s="5"/>
      <c r="T51" s="5"/>
      <c r="U51" s="5"/>
      <c r="V51" s="5"/>
      <c r="W51" s="5"/>
    </row>
    <row r="52" spans="1:23" ht="14.75" customHeight="1" thickBot="1" x14ac:dyDescent="0.5">
      <c r="A52" s="5"/>
      <c r="B52" s="31" t="s">
        <v>201</v>
      </c>
      <c r="C52" s="141"/>
      <c r="D52" s="5"/>
      <c r="E52" s="5"/>
      <c r="F52" s="5"/>
      <c r="G52" s="5"/>
      <c r="H52" s="5"/>
      <c r="I52" s="5"/>
      <c r="J52" s="9" t="s">
        <v>219</v>
      </c>
      <c r="K52" s="10"/>
      <c r="L52" s="11">
        <f>IF(IF(L47&gt;60000,0,IF(L48&gt;60000,MIN(35200-L47,60000-35200),MIN(L48-L47,L48-35200)))&lt;0,0,IF(L47&gt;60000,0,IF(L48&gt;60000,MIN(35200-L47,60000-35200),MIN(L48-L47,L48-35200))))</f>
        <v>4217.8799999999974</v>
      </c>
      <c r="M52" s="5"/>
      <c r="N52" s="5"/>
      <c r="O52" s="24"/>
      <c r="P52" s="5"/>
      <c r="Q52" s="5"/>
      <c r="R52" s="5"/>
      <c r="S52" s="5"/>
      <c r="T52" s="5"/>
      <c r="U52" s="5"/>
      <c r="V52" s="5"/>
      <c r="W52" s="5"/>
    </row>
    <row r="53" spans="1:23" ht="14.75" customHeight="1" thickBot="1" x14ac:dyDescent="0.5">
      <c r="A53" s="5"/>
      <c r="B53" s="27" t="s">
        <v>267</v>
      </c>
      <c r="C53" s="149"/>
      <c r="H53" s="5"/>
      <c r="I53" s="5"/>
      <c r="J53" s="9" t="s">
        <v>220</v>
      </c>
      <c r="K53" s="10"/>
      <c r="L53" s="11">
        <f>IF(IF(L47&gt;30000,0,IF(L48&gt;300000,MIN(60000-L47,300000-60000),MIN(L48-L47,L48-60000)))&lt;0,0,IF(L47&gt;30000,0,IF(L48&gt;300000,MIN(60000-L47,300000-60000),MIN(L48-L47,L48-60000))))</f>
        <v>0</v>
      </c>
      <c r="M53" s="5"/>
      <c r="N53" s="5"/>
      <c r="O53" s="24"/>
      <c r="P53" s="5"/>
      <c r="Q53" s="5"/>
      <c r="R53" s="5"/>
      <c r="S53" s="5"/>
      <c r="T53" s="5"/>
      <c r="U53" s="5"/>
      <c r="V53" s="5"/>
      <c r="W53" s="5"/>
    </row>
    <row r="54" spans="1:23" ht="14.75" customHeight="1" thickBot="1" x14ac:dyDescent="0.5">
      <c r="A54" s="5"/>
      <c r="B54" s="30" t="s">
        <v>199</v>
      </c>
      <c r="C54" s="141"/>
      <c r="H54" s="5"/>
      <c r="I54" s="5"/>
      <c r="J54" s="9" t="s">
        <v>221</v>
      </c>
      <c r="K54" s="10"/>
      <c r="L54" s="11">
        <f>ROUND(L49*0.19,2)</f>
        <v>1311</v>
      </c>
      <c r="M54" s="5"/>
      <c r="N54" s="5"/>
      <c r="O54" s="24"/>
      <c r="P54" s="5"/>
      <c r="Q54" s="5"/>
      <c r="R54" s="5"/>
      <c r="S54" s="5"/>
      <c r="T54" s="5"/>
      <c r="U54" s="5"/>
      <c r="V54" s="5"/>
      <c r="W54" s="5"/>
    </row>
    <row r="55" spans="1:23" ht="14.75" customHeight="1" thickBot="1" x14ac:dyDescent="0.5">
      <c r="A55" s="5"/>
      <c r="B55" s="30" t="s">
        <v>200</v>
      </c>
      <c r="C55" s="141"/>
      <c r="G55" s="5"/>
      <c r="H55" s="5"/>
      <c r="I55" s="5"/>
      <c r="J55" s="9" t="s">
        <v>222</v>
      </c>
      <c r="K55" s="10"/>
      <c r="L55" s="11">
        <f>ROUND(L50*0.24,2)</f>
        <v>1860</v>
      </c>
      <c r="M55" s="5"/>
      <c r="N55" s="5"/>
      <c r="P55" s="5"/>
      <c r="Q55" s="5"/>
      <c r="R55" s="5"/>
      <c r="S55" s="5"/>
      <c r="T55" s="5"/>
      <c r="U55" s="5"/>
      <c r="V55" s="5"/>
      <c r="W55" s="5"/>
    </row>
    <row r="56" spans="1:23" ht="14.75" customHeight="1" thickBot="1" x14ac:dyDescent="0.5">
      <c r="A56" s="5"/>
      <c r="B56" s="30" t="s">
        <v>207</v>
      </c>
      <c r="C56" s="20"/>
      <c r="G56" s="5"/>
      <c r="H56" s="5"/>
      <c r="I56" s="5"/>
      <c r="J56" s="9" t="s">
        <v>223</v>
      </c>
      <c r="K56" s="10"/>
      <c r="L56" s="11">
        <f>ROUND(L51*0.3,2)</f>
        <v>4500</v>
      </c>
      <c r="M56" s="5"/>
      <c r="N56" s="5"/>
      <c r="P56" s="5"/>
      <c r="Q56" s="5"/>
      <c r="R56" s="5"/>
      <c r="S56" s="5"/>
      <c r="T56" s="5"/>
      <c r="U56" s="5"/>
      <c r="V56" s="5"/>
      <c r="W56" s="5"/>
    </row>
    <row r="57" spans="1:23" ht="14.75" customHeight="1" thickBot="1" x14ac:dyDescent="0.5">
      <c r="A57" s="5"/>
      <c r="B57" s="31" t="s">
        <v>201</v>
      </c>
      <c r="C57" s="141"/>
      <c r="G57" s="5"/>
      <c r="H57" s="5"/>
      <c r="I57" s="5"/>
      <c r="J57" s="9" t="s">
        <v>224</v>
      </c>
      <c r="K57" s="10"/>
      <c r="L57" s="11">
        <f>ROUND(L52*0.37,2)</f>
        <v>1560.62</v>
      </c>
      <c r="P57" s="5"/>
      <c r="Q57" s="5"/>
      <c r="R57" s="5"/>
      <c r="S57" s="5"/>
      <c r="T57" s="5"/>
      <c r="U57" s="5"/>
      <c r="V57" s="5"/>
      <c r="W57" s="5"/>
    </row>
    <row r="58" spans="1:23" ht="14.65" thickBot="1" x14ac:dyDescent="0.5">
      <c r="A58" s="5"/>
      <c r="B58" s="27" t="s">
        <v>268</v>
      </c>
      <c r="C58" s="149"/>
      <c r="G58" s="5"/>
      <c r="H58" s="5"/>
      <c r="I58" s="5"/>
      <c r="J58" s="9" t="s">
        <v>225</v>
      </c>
      <c r="K58" s="10"/>
      <c r="L58" s="11">
        <f>ROUND(L53*0.45,2)</f>
        <v>0</v>
      </c>
      <c r="P58" s="5"/>
      <c r="Q58" s="5"/>
      <c r="R58" s="5"/>
      <c r="S58" s="5"/>
      <c r="T58" s="5"/>
      <c r="U58" s="5"/>
      <c r="V58" s="5"/>
      <c r="W58" s="5"/>
    </row>
    <row r="59" spans="1:23" ht="14.65" thickBot="1" x14ac:dyDescent="0.5">
      <c r="A59" s="5"/>
      <c r="B59" s="30" t="s">
        <v>199</v>
      </c>
      <c r="C59" s="141"/>
      <c r="G59" s="5"/>
      <c r="H59" s="5"/>
      <c r="I59" s="5"/>
      <c r="J59" s="9" t="s">
        <v>272</v>
      </c>
      <c r="K59" s="10"/>
      <c r="L59" s="56">
        <f>SUM(L54:L58)</f>
        <v>9231.619999999999</v>
      </c>
      <c r="P59" s="5"/>
      <c r="Q59" s="5"/>
      <c r="R59" s="5"/>
      <c r="S59" s="5"/>
      <c r="T59" s="5"/>
      <c r="U59" s="5"/>
      <c r="V59" s="5"/>
      <c r="W59" s="5"/>
    </row>
    <row r="60" spans="1:23" ht="14.65" thickBot="1" x14ac:dyDescent="0.5">
      <c r="A60" s="5"/>
      <c r="B60" s="30" t="s">
        <v>200</v>
      </c>
      <c r="C60" s="141"/>
      <c r="G60" s="5"/>
      <c r="H60" s="5"/>
      <c r="I60" s="5"/>
      <c r="J60" s="9" t="s">
        <v>270</v>
      </c>
      <c r="K60" s="10"/>
      <c r="L60" s="56">
        <f>MAX(0,C129-L36)</f>
        <v>9231.6155999999992</v>
      </c>
      <c r="P60" s="5"/>
      <c r="Q60" s="5"/>
      <c r="R60" s="5"/>
      <c r="S60" s="5"/>
      <c r="T60" s="5"/>
      <c r="U60" s="5"/>
      <c r="V60" s="5"/>
      <c r="W60" s="5"/>
    </row>
    <row r="61" spans="1:23" ht="14.65" thickBot="1" x14ac:dyDescent="0.5">
      <c r="A61" s="5"/>
      <c r="B61" s="32" t="s">
        <v>207</v>
      </c>
      <c r="C61" s="20"/>
      <c r="G61" s="5"/>
      <c r="H61" s="5"/>
      <c r="I61" s="5"/>
      <c r="J61" s="91" t="s">
        <v>226</v>
      </c>
      <c r="K61" s="92"/>
      <c r="L61" s="93">
        <f>IF(M61&lt;0.02,0.02,M61)</f>
        <v>0.2228896215837218</v>
      </c>
      <c r="M61" s="5">
        <f>IF(L60&lt;L59,L60/L35,L59/L35)</f>
        <v>0.2228896215837218</v>
      </c>
    </row>
    <row r="62" spans="1:23" ht="14.65" thickBot="1" x14ac:dyDescent="0.5">
      <c r="A62" s="5"/>
      <c r="B62" s="31" t="s">
        <v>201</v>
      </c>
      <c r="C62" s="141"/>
      <c r="G62" s="5"/>
      <c r="H62" s="5"/>
      <c r="I62" s="5"/>
    </row>
    <row r="63" spans="1:23" ht="14.65" thickBot="1" x14ac:dyDescent="0.5">
      <c r="A63" s="5"/>
      <c r="B63" s="27" t="s">
        <v>269</v>
      </c>
      <c r="C63" s="149"/>
      <c r="G63" s="5"/>
      <c r="H63" s="5"/>
      <c r="I63" s="5"/>
      <c r="J63" s="85" t="s">
        <v>228</v>
      </c>
      <c r="K63" s="88"/>
      <c r="L63" s="89"/>
    </row>
    <row r="64" spans="1:23" ht="14.65" thickBot="1" x14ac:dyDescent="0.5">
      <c r="A64" s="5"/>
      <c r="B64" s="30" t="s">
        <v>199</v>
      </c>
      <c r="C64" s="141"/>
      <c r="G64" s="5"/>
      <c r="H64" s="5"/>
      <c r="I64" s="5"/>
      <c r="J64" s="9" t="s">
        <v>230</v>
      </c>
      <c r="K64" s="7"/>
      <c r="L64" s="82">
        <v>4.7E-2</v>
      </c>
    </row>
    <row r="65" spans="1:12" ht="14.65" thickBot="1" x14ac:dyDescent="0.5">
      <c r="A65" s="5"/>
      <c r="B65" s="30" t="s">
        <v>200</v>
      </c>
      <c r="C65" s="141"/>
      <c r="G65" s="5"/>
      <c r="H65" s="5"/>
      <c r="I65" s="5"/>
      <c r="J65" s="9" t="s">
        <v>231</v>
      </c>
      <c r="K65" s="7"/>
      <c r="L65" s="82">
        <v>1.1999999999999999E-3</v>
      </c>
    </row>
    <row r="66" spans="1:12" ht="14.65" thickBot="1" x14ac:dyDescent="0.5">
      <c r="A66" s="5"/>
      <c r="B66" s="32" t="s">
        <v>207</v>
      </c>
      <c r="C66" s="20"/>
      <c r="G66" s="5"/>
      <c r="H66" s="5"/>
      <c r="I66" s="5"/>
      <c r="J66" s="9" t="s">
        <v>236</v>
      </c>
      <c r="K66" s="7"/>
      <c r="L66" s="82">
        <v>0.28299999999999997</v>
      </c>
    </row>
    <row r="67" spans="1:12" ht="14.65" thickBot="1" x14ac:dyDescent="0.5">
      <c r="A67" s="5"/>
      <c r="B67" s="32" t="s">
        <v>201</v>
      </c>
      <c r="C67" s="141"/>
      <c r="G67" s="5"/>
      <c r="H67" s="5"/>
      <c r="I67" s="5"/>
      <c r="J67" s="9" t="s">
        <v>235</v>
      </c>
      <c r="K67" s="7"/>
      <c r="L67" s="46">
        <v>1.0999999999999999E-2</v>
      </c>
    </row>
    <row r="68" spans="1:12" ht="14.65" thickBot="1" x14ac:dyDescent="0.5">
      <c r="A68" s="35" t="s">
        <v>246</v>
      </c>
      <c r="B68" s="28" t="s">
        <v>243</v>
      </c>
      <c r="C68" s="80">
        <f>IF(B69=A68,1,IF(B69=A69,2,IF(B69=A70,3,0)))</f>
        <v>3</v>
      </c>
      <c r="G68" s="5"/>
      <c r="H68" s="5"/>
      <c r="I68" s="5"/>
      <c r="J68" s="91" t="s">
        <v>234</v>
      </c>
      <c r="K68" s="92"/>
      <c r="L68" s="94">
        <f>L64+L65-(L66*L67)</f>
        <v>4.5087000000000002E-2</v>
      </c>
    </row>
    <row r="69" spans="1:12" ht="42" customHeight="1" thickBot="1" x14ac:dyDescent="0.5">
      <c r="A69" s="35" t="s">
        <v>244</v>
      </c>
      <c r="B69" s="156" t="s">
        <v>245</v>
      </c>
      <c r="C69" s="157"/>
      <c r="G69" s="5"/>
      <c r="H69" s="5"/>
      <c r="I69" s="5"/>
    </row>
    <row r="70" spans="1:12" x14ac:dyDescent="0.45">
      <c r="A70" s="35" t="s">
        <v>245</v>
      </c>
      <c r="B70" s="5" t="s">
        <v>203</v>
      </c>
      <c r="C70" s="5">
        <f>IF(C49&gt;=75,ROUND((1150+1400)/C52,2),IF(C49&gt;=65,ROUND(1150/C52,2),0))</f>
        <v>0</v>
      </c>
      <c r="G70" s="5"/>
      <c r="H70" s="5"/>
      <c r="I70" s="5"/>
      <c r="J70" s="85" t="s">
        <v>229</v>
      </c>
      <c r="K70" s="88"/>
      <c r="L70" s="89"/>
    </row>
    <row r="71" spans="1:12" x14ac:dyDescent="0.45">
      <c r="A71" s="5"/>
      <c r="B71" s="5" t="s">
        <v>204</v>
      </c>
      <c r="C71" s="5">
        <f>IF(C54&gt;=75,ROUND((1150+1400)/C57,2),IF(C54&gt;=65,ROUND(1150/C57,2),0))</f>
        <v>0</v>
      </c>
      <c r="D71" s="5"/>
      <c r="E71" s="5"/>
      <c r="F71" s="5"/>
      <c r="G71" s="5"/>
      <c r="H71" s="5"/>
      <c r="I71" s="5"/>
      <c r="J71" s="9" t="s">
        <v>230</v>
      </c>
      <c r="K71" s="7"/>
      <c r="L71" s="82">
        <v>4.7E-2</v>
      </c>
    </row>
    <row r="72" spans="1:12" x14ac:dyDescent="0.45">
      <c r="A72" s="5"/>
      <c r="B72" s="5" t="s">
        <v>205</v>
      </c>
      <c r="C72" s="5">
        <f>IF(C59&gt;=75,ROUND((1150+1400)/C62,2),IF(C59&gt;=65,ROUND(1150/C62,2),0))</f>
        <v>0</v>
      </c>
      <c r="D72" s="5"/>
      <c r="E72" s="5"/>
      <c r="F72" s="5"/>
      <c r="G72" s="5"/>
      <c r="H72" s="5"/>
      <c r="I72" s="5"/>
      <c r="J72" s="9" t="s">
        <v>231</v>
      </c>
      <c r="K72" s="7"/>
      <c r="L72" s="82">
        <v>1.1999999999999999E-3</v>
      </c>
    </row>
    <row r="73" spans="1:12" x14ac:dyDescent="0.45">
      <c r="A73" s="5"/>
      <c r="B73" s="5" t="s">
        <v>206</v>
      </c>
      <c r="C73" s="5">
        <f>IF(C64&gt;=75,ROUND((1150+1400)/C67,2),IF(C64&gt;=65,ROUND(1150/C67,2),0))</f>
        <v>0</v>
      </c>
      <c r="D73" s="5"/>
      <c r="E73" s="5"/>
      <c r="F73" s="5"/>
      <c r="G73" s="5"/>
      <c r="H73" s="5"/>
      <c r="I73" s="5"/>
      <c r="J73" s="9" t="s">
        <v>232</v>
      </c>
      <c r="K73" s="7"/>
      <c r="L73" s="82">
        <v>1.55E-2</v>
      </c>
    </row>
    <row r="74" spans="1:12" x14ac:dyDescent="0.45">
      <c r="A74" s="25"/>
      <c r="B74" s="5" t="s">
        <v>208</v>
      </c>
      <c r="C74" s="5">
        <f>IF(C49&lt;65,0,IF(C50=A40,ROUND(12000/C52,2),IF(AND(C50=A41,C51="No"),ROUND(3000/C52,2),IF(AND(C50=A41,C51="Sí"),ROUND(6000/C52,2),""))))</f>
        <v>0</v>
      </c>
      <c r="D74" s="5"/>
      <c r="E74" s="5"/>
      <c r="F74" s="5"/>
      <c r="G74" s="5"/>
      <c r="H74" s="5"/>
      <c r="I74" s="5"/>
      <c r="J74" s="9" t="s">
        <v>233</v>
      </c>
      <c r="K74" s="7"/>
      <c r="L74" s="82">
        <v>1E-3</v>
      </c>
    </row>
    <row r="75" spans="1:12" ht="14.65" thickBot="1" x14ac:dyDescent="0.5">
      <c r="A75" s="25"/>
      <c r="B75" s="5" t="s">
        <v>209</v>
      </c>
      <c r="C75" s="5">
        <f>IF(C54&lt;65,0,IF(C55=A40,ROUND(12000/C57,2),IF(AND(C55=A41,C56="No"),ROUND(3000/C57,2),IF(AND(C55=A41,C56="Sí"),ROUND(6000/C57,2),""))))</f>
        <v>0</v>
      </c>
      <c r="D75" s="5"/>
      <c r="E75" s="5"/>
      <c r="F75" s="5"/>
      <c r="G75" s="5"/>
      <c r="H75" s="5"/>
      <c r="I75" s="5"/>
      <c r="J75" s="91" t="s">
        <v>234</v>
      </c>
      <c r="K75" s="92"/>
      <c r="L75" s="93">
        <f>SUM(L71:L74)</f>
        <v>6.4700000000000008E-2</v>
      </c>
    </row>
    <row r="76" spans="1:12" x14ac:dyDescent="0.45">
      <c r="A76" s="25"/>
      <c r="B76" s="5" t="s">
        <v>210</v>
      </c>
      <c r="C76" s="5">
        <f>IF(C59&lt;65,0,IF(C60=A40,ROUND(12000/C62,2),IF(AND(C60=A41,C61="No"),ROUND(3000/C62,2),IF(AND(C60=A41,C61="Sí"),ROUND(6000/C62,2),""))))</f>
        <v>0</v>
      </c>
      <c r="D76" s="5"/>
      <c r="E76" s="5"/>
      <c r="F76" s="5"/>
      <c r="G76" s="5"/>
      <c r="H76" s="5"/>
      <c r="I76" s="5"/>
    </row>
    <row r="77" spans="1:12" x14ac:dyDescent="0.45">
      <c r="A77" s="25"/>
      <c r="B77" s="5" t="s">
        <v>211</v>
      </c>
      <c r="C77" s="5">
        <f>IF(C64&lt;65,0,IF(C65=A40,ROUND(12000/C67,2),IF(AND(C65=A41,C66="No"),ROUND(3000/C67,2),IF(AND(C65=A41,C66="Sí"),ROUND(6000/C67,2),""))))</f>
        <v>0</v>
      </c>
      <c r="D77" s="5"/>
      <c r="E77" s="5"/>
      <c r="F77" s="5"/>
      <c r="G77" s="5"/>
      <c r="H77" s="5"/>
      <c r="I77" s="5"/>
    </row>
    <row r="78" spans="1:12" x14ac:dyDescent="0.45">
      <c r="A78" s="25"/>
      <c r="B78" s="5"/>
      <c r="C78" s="5"/>
      <c r="I78" s="5"/>
    </row>
    <row r="79" spans="1:12" x14ac:dyDescent="0.45">
      <c r="A79" s="25"/>
      <c r="B79" s="5" t="s">
        <v>248</v>
      </c>
      <c r="C79" s="5"/>
      <c r="I79" s="5"/>
    </row>
    <row r="80" spans="1:12" x14ac:dyDescent="0.45">
      <c r="A80" s="25"/>
      <c r="B80" s="5" t="s">
        <v>249</v>
      </c>
      <c r="C80" s="39">
        <f>L48-C34</f>
        <v>39417.879999999997</v>
      </c>
      <c r="I80" s="5"/>
    </row>
    <row r="81" spans="1:9" x14ac:dyDescent="0.45">
      <c r="A81" s="25"/>
      <c r="B81" s="5" t="s">
        <v>250</v>
      </c>
      <c r="C81" s="39">
        <f>C34</f>
        <v>0</v>
      </c>
      <c r="I81" s="5"/>
    </row>
    <row r="82" spans="1:9" x14ac:dyDescent="0.45">
      <c r="A82" s="25"/>
      <c r="B82" s="5" t="s">
        <v>251</v>
      </c>
      <c r="C82" s="40">
        <f>MAX(B84:B89)</f>
        <v>10286.115599999999</v>
      </c>
      <c r="I82" s="5"/>
    </row>
    <row r="83" spans="1:9" x14ac:dyDescent="0.45">
      <c r="A83" s="25"/>
      <c r="B83" s="5" t="s">
        <v>253</v>
      </c>
      <c r="C83" s="5"/>
      <c r="I83" s="5"/>
    </row>
    <row r="84" spans="1:9" x14ac:dyDescent="0.45">
      <c r="A84" s="25"/>
      <c r="B84" s="5" t="str">
        <f>IF(C80&lt;12450,0+(C80)*0.19,"")</f>
        <v/>
      </c>
      <c r="C84" s="5"/>
      <c r="I84" s="5"/>
    </row>
    <row r="85" spans="1:9" x14ac:dyDescent="0.45">
      <c r="A85" s="25"/>
      <c r="B85" s="5" t="str">
        <f>IF(AND(C80&gt;=12450,C80&lt;20200),2365.5+(C80-12450)*0.24,"")</f>
        <v/>
      </c>
      <c r="C85" s="5"/>
      <c r="I85" s="5"/>
    </row>
    <row r="86" spans="1:9" x14ac:dyDescent="0.45">
      <c r="A86" s="25"/>
      <c r="B86" s="5" t="str">
        <f>IF(AND(C80&gt;=20200,C80&lt;35200),4225.5+(C80-20200)*0.3,"")</f>
        <v/>
      </c>
      <c r="C86" s="5"/>
      <c r="I86" s="5"/>
    </row>
    <row r="87" spans="1:9" x14ac:dyDescent="0.45">
      <c r="A87" s="25"/>
      <c r="B87" s="5">
        <f>IF(AND(C80&gt;=35200,C80&lt;60000),8725.5+(C80-35200)*0.37,"")</f>
        <v>10286.115599999999</v>
      </c>
      <c r="C87" s="5"/>
      <c r="I87" s="5"/>
    </row>
    <row r="88" spans="1:9" x14ac:dyDescent="0.45">
      <c r="A88" s="25"/>
      <c r="B88" s="5" t="str">
        <f>IF(AND(C80&gt;=60000,C80&lt;300000),17901.5+(C80-60000)*0.45,"")</f>
        <v/>
      </c>
      <c r="C88" s="5"/>
      <c r="I88" s="5"/>
    </row>
    <row r="89" spans="1:9" x14ac:dyDescent="0.45">
      <c r="A89" s="25"/>
      <c r="B89" s="5" t="str">
        <f>IF(C80&gt;300000,125901.5+(C80-300000)*0.47,"")</f>
        <v/>
      </c>
      <c r="C89" s="5"/>
      <c r="I89" s="5"/>
    </row>
    <row r="90" spans="1:9" x14ac:dyDescent="0.45">
      <c r="A90" s="25"/>
      <c r="B90" s="5" t="s">
        <v>252</v>
      </c>
      <c r="C90" s="40">
        <f>MAX(B91:B96)</f>
        <v>0</v>
      </c>
      <c r="I90" s="5"/>
    </row>
    <row r="91" spans="1:9" x14ac:dyDescent="0.45">
      <c r="A91" s="25"/>
      <c r="B91" s="5">
        <f>IF(C81&lt;12450,0+(C81)*0.19,"")</f>
        <v>0</v>
      </c>
      <c r="C91" s="5"/>
      <c r="I91" s="5"/>
    </row>
    <row r="92" spans="1:9" x14ac:dyDescent="0.45">
      <c r="A92" s="25"/>
      <c r="B92" s="5" t="str">
        <f>IF(AND(C81&gt;=12450,C81&lt;20200),2365.5+(C81-12450)*0.24,"")</f>
        <v/>
      </c>
      <c r="C92" s="5"/>
      <c r="I92" s="5"/>
    </row>
    <row r="93" spans="1:9" x14ac:dyDescent="0.45">
      <c r="A93" s="25"/>
      <c r="B93" s="5" t="str">
        <f>IF(AND(C81&gt;=20200,C81&lt;35200),4225.5+(C81-20200)*0.3,"")</f>
        <v/>
      </c>
      <c r="C93" s="5"/>
      <c r="I93" s="5"/>
    </row>
    <row r="94" spans="1:9" x14ac:dyDescent="0.45">
      <c r="A94" s="25"/>
      <c r="B94" s="5" t="str">
        <f>IF(AND(C81&gt;=35200,C81&lt;60000),8725.5+(C81-35200)*0.37,"")</f>
        <v/>
      </c>
      <c r="C94" s="5"/>
      <c r="I94" s="5"/>
    </row>
    <row r="95" spans="1:9" x14ac:dyDescent="0.45">
      <c r="A95" s="25"/>
      <c r="B95" s="5" t="str">
        <f>IF(AND(C81&gt;=60000,C81&lt;300000),17901.5+(C81-60000)*0.45,"")</f>
        <v/>
      </c>
      <c r="C95" s="5"/>
    </row>
    <row r="96" spans="1:9" x14ac:dyDescent="0.45">
      <c r="B96" s="5" t="str">
        <f>IF(C81&gt;300000,125901.5+(C81-300000)*0.47,"")</f>
        <v/>
      </c>
      <c r="C96" s="5"/>
    </row>
    <row r="97" spans="2:3" x14ac:dyDescent="0.45">
      <c r="B97" s="5" t="s">
        <v>254</v>
      </c>
      <c r="C97" s="39">
        <f>IF(AND(C34&gt;0,L48-C34&gt;0),C90+C82,C107)</f>
        <v>10286.115599999999</v>
      </c>
    </row>
    <row r="98" spans="2:3" x14ac:dyDescent="0.45">
      <c r="B98" s="5" t="s">
        <v>255</v>
      </c>
      <c r="C98" s="40">
        <f>IF(AND(C34&gt;0,L48-C34&gt;0),L47+1980,L47)</f>
        <v>5550</v>
      </c>
    </row>
    <row r="99" spans="2:3" x14ac:dyDescent="0.45">
      <c r="B99" s="5" t="s">
        <v>256</v>
      </c>
      <c r="C99" s="40">
        <f>MAX(B100:B105)</f>
        <v>1054.5</v>
      </c>
    </row>
    <row r="100" spans="2:3" x14ac:dyDescent="0.45">
      <c r="B100" s="5">
        <f>IF(C98&lt;12450,0+(C98)*0.19,"")</f>
        <v>1054.5</v>
      </c>
      <c r="C100" s="5"/>
    </row>
    <row r="101" spans="2:3" x14ac:dyDescent="0.45">
      <c r="B101" s="5" t="str">
        <f>IF(AND(C98&gt;=12450,C98&lt;20200),2365.5+(C98-12450)*0.24,"")</f>
        <v/>
      </c>
      <c r="C101" s="5"/>
    </row>
    <row r="102" spans="2:3" x14ac:dyDescent="0.45">
      <c r="B102" s="5" t="str">
        <f>IF(AND(C98&gt;=20200,C98&lt;35200),4225.5+(C98-20200)*0.3,"")</f>
        <v/>
      </c>
      <c r="C102" s="5"/>
    </row>
    <row r="103" spans="2:3" x14ac:dyDescent="0.45">
      <c r="B103" s="5" t="str">
        <f>IF(AND(C98&gt;=35200,C98&lt;60000),8725.5+(C98-35200)*0.37,"")</f>
        <v/>
      </c>
      <c r="C103" s="5"/>
    </row>
    <row r="104" spans="2:3" x14ac:dyDescent="0.45">
      <c r="B104" s="5" t="str">
        <f>IF(AND(C98&gt;=60000,C98&lt;300000),17901.5+(C98-60000)*0.45,"")</f>
        <v/>
      </c>
      <c r="C104" s="5"/>
    </row>
    <row r="105" spans="2:3" x14ac:dyDescent="0.45">
      <c r="B105" s="5" t="str">
        <f>IF(C98&gt;300000,125901.5+(C98-300000)*0.47,"")</f>
        <v/>
      </c>
      <c r="C105" s="5"/>
    </row>
    <row r="106" spans="2:3" x14ac:dyDescent="0.45">
      <c r="B106" s="5" t="s">
        <v>257</v>
      </c>
      <c r="C106" s="41">
        <f>IF(C97&gt;C99,C97-C99,L59)</f>
        <v>9231.6155999999992</v>
      </c>
    </row>
    <row r="107" spans="2:3" x14ac:dyDescent="0.45">
      <c r="B107" s="5" t="s">
        <v>258</v>
      </c>
      <c r="C107" s="40">
        <f>MAX(B108:B114)</f>
        <v>10286.115599999999</v>
      </c>
    </row>
    <row r="108" spans="2:3" x14ac:dyDescent="0.45">
      <c r="B108" s="5" t="str">
        <f>IF(L48&lt;12450,0+(L48)*0.19,"")</f>
        <v/>
      </c>
      <c r="C108" s="5"/>
    </row>
    <row r="109" spans="2:3" x14ac:dyDescent="0.45">
      <c r="B109" s="5" t="str">
        <f>IF(AND(L48&gt;=12450,L48&lt;20200),2365.5+(L48-12450)*0.24,"")</f>
        <v/>
      </c>
      <c r="C109" s="5"/>
    </row>
    <row r="110" spans="2:3" x14ac:dyDescent="0.45">
      <c r="B110" s="5" t="str">
        <f>IF(AND(L48&gt;=20200,L48&lt;35200),4225.5+(L48-20200)*0.3,"")</f>
        <v/>
      </c>
      <c r="C110" s="5"/>
    </row>
    <row r="111" spans="2:3" x14ac:dyDescent="0.45">
      <c r="B111" s="5">
        <f>IF(AND(L48&gt;=35200,L48&lt;60000),8725.5+(L48-35200)*0.37,"")</f>
        <v>10286.115599999999</v>
      </c>
      <c r="C111" s="5"/>
    </row>
    <row r="112" spans="2:3" x14ac:dyDescent="0.45">
      <c r="B112" s="5" t="str">
        <f>IF(AND(L48&gt;=60000,L48&lt;300000),17901.5+(L48-60000)*0.45,"")</f>
        <v/>
      </c>
      <c r="C112" s="5"/>
    </row>
    <row r="113" spans="2:3" x14ac:dyDescent="0.45">
      <c r="B113" s="5" t="str">
        <f>IF(L48&gt;300000,125901.5+(L48-300000)*0.47,"")</f>
        <v/>
      </c>
      <c r="C113" s="5"/>
    </row>
    <row r="114" spans="2:3" x14ac:dyDescent="0.45">
      <c r="B114" s="5"/>
      <c r="C114" s="5"/>
    </row>
    <row r="115" spans="2:3" x14ac:dyDescent="0.45">
      <c r="B115" s="5"/>
      <c r="C115" s="5"/>
    </row>
    <row r="116" spans="2:3" x14ac:dyDescent="0.45">
      <c r="B116" s="5" t="s">
        <v>259</v>
      </c>
      <c r="C116" s="5"/>
    </row>
    <row r="117" spans="2:3" x14ac:dyDescent="0.45">
      <c r="B117" s="5" t="s">
        <v>261</v>
      </c>
      <c r="C117" s="5"/>
    </row>
    <row r="118" spans="2:3" x14ac:dyDescent="0.45">
      <c r="B118" s="5" t="s">
        <v>260</v>
      </c>
      <c r="C118" s="5"/>
    </row>
    <row r="119" spans="2:3" x14ac:dyDescent="0.45">
      <c r="B119" s="5">
        <f>IF(AND(L35&lt;=35200,C68=1,C35=1),(L35-(17270+C118+C119))*0.43,0)</f>
        <v>0</v>
      </c>
      <c r="C119" s="5"/>
    </row>
    <row r="120" spans="2:3" x14ac:dyDescent="0.45">
      <c r="B120" s="5">
        <f>IF(AND(L35&lt;=35200,C68=1,C35&gt;1),(L35-(18617+C118+C119))*0.43,0)</f>
        <v>0</v>
      </c>
      <c r="C120" s="5"/>
    </row>
    <row r="121" spans="2:3" x14ac:dyDescent="0.45">
      <c r="B121" s="5">
        <f>IF(AND(L35&lt;=35200,C68=2,C35=0),(L35-(16696+C118+C119))*0.43,0)</f>
        <v>0</v>
      </c>
      <c r="C121" s="5"/>
    </row>
    <row r="122" spans="2:3" x14ac:dyDescent="0.45">
      <c r="B122" s="5">
        <f>IF(AND(L35&lt;=35200,C68=2,C35=1),(L35-(17894+C118+C119))*0.43,0)</f>
        <v>0</v>
      </c>
      <c r="C122" s="5"/>
    </row>
    <row r="123" spans="2:3" x14ac:dyDescent="0.45">
      <c r="B123" s="5">
        <f>IF(AND(L35&lt;=35200,C68=2,C35&gt;1),(L35-(19241+C118+C119))*0.43,0)</f>
        <v>0</v>
      </c>
      <c r="C123" s="5"/>
    </row>
    <row r="124" spans="2:3" x14ac:dyDescent="0.45">
      <c r="B124" s="5">
        <f>IF(AND(L35&lt;=35200,C68=3,C35=0),(L35-(15000+C118+C119))*0.43,0)</f>
        <v>0</v>
      </c>
      <c r="C124" s="5"/>
    </row>
    <row r="125" spans="2:3" x14ac:dyDescent="0.45">
      <c r="B125" s="5">
        <f>IF(AND(L35&lt;=35200,C68=3,C35=1),(L35-(15599+C118+C119))*0.43,0)</f>
        <v>0</v>
      </c>
      <c r="C125" s="5"/>
    </row>
    <row r="126" spans="2:3" x14ac:dyDescent="0.45">
      <c r="B126" s="5">
        <f>IF(AND(L35&lt;=35200,C68=3,C35&gt;1),(L35-(16272+C118+C119))*0.43,0)</f>
        <v>0</v>
      </c>
      <c r="C126" s="5"/>
    </row>
    <row r="127" spans="2:3" x14ac:dyDescent="0.45">
      <c r="B127" s="5" t="s">
        <v>263</v>
      </c>
      <c r="C127" s="5" t="str">
        <f>IF(MAX(B119:B126)&gt;0,"Sí","No")</f>
        <v>No</v>
      </c>
    </row>
    <row r="128" spans="2:3" x14ac:dyDescent="0.45">
      <c r="B128" s="5" t="s">
        <v>264</v>
      </c>
      <c r="C128" s="5">
        <f>MAX(B119:B126)</f>
        <v>0</v>
      </c>
    </row>
    <row r="129" spans="2:3" x14ac:dyDescent="0.45">
      <c r="B129" s="5" t="s">
        <v>262</v>
      </c>
      <c r="C129" s="41">
        <f>IF(C127="No",C106,IF(C106&gt;C128,C128,C106))</f>
        <v>9231.6155999999992</v>
      </c>
    </row>
    <row r="130" spans="2:3" x14ac:dyDescent="0.45">
      <c r="B130" s="5"/>
      <c r="C130" s="5"/>
    </row>
    <row r="131" spans="2:3" x14ac:dyDescent="0.45">
      <c r="B131" s="5"/>
      <c r="C131" s="5"/>
    </row>
    <row r="132" spans="2:3" x14ac:dyDescent="0.45">
      <c r="B132" s="5"/>
      <c r="C132" s="5"/>
    </row>
    <row r="133" spans="2:3" x14ac:dyDescent="0.45">
      <c r="B133" s="5"/>
      <c r="C133" s="5"/>
    </row>
    <row r="134" spans="2:3" x14ac:dyDescent="0.45">
      <c r="B134" s="5"/>
      <c r="C134" s="5"/>
    </row>
    <row r="135" spans="2:3" x14ac:dyDescent="0.45">
      <c r="B135" s="5"/>
      <c r="C135" s="5"/>
    </row>
    <row r="136" spans="2:3" x14ac:dyDescent="0.45">
      <c r="B136" s="5"/>
      <c r="C136" s="5"/>
    </row>
    <row r="137" spans="2:3" x14ac:dyDescent="0.45">
      <c r="B137" s="5"/>
      <c r="C137" s="5"/>
    </row>
  </sheetData>
  <sheetProtection algorithmName="SHA-512" hashValue="szamBCJumhxTS4B5emIxO8I43/diBGpKooh+GA6I+Yk78kc4PNHfxJzKgvmoNP5SLKDXeh0hbj1TFJNxtdJokA==" saltValue="nqEh0oIFnb7CQyQX4CCAbw==" spinCount="100000" sheet="1" objects="1" scenarios="1"/>
  <mergeCells count="12">
    <mergeCell ref="M4:M5"/>
    <mergeCell ref="B28:C28"/>
    <mergeCell ref="B69:C69"/>
    <mergeCell ref="B3:C3"/>
    <mergeCell ref="J3:K3"/>
    <mergeCell ref="J4:K5"/>
    <mergeCell ref="L4:L5"/>
    <mergeCell ref="B31:C31"/>
    <mergeCell ref="B41:B43"/>
    <mergeCell ref="C41:C43"/>
    <mergeCell ref="B44:B46"/>
    <mergeCell ref="C44:C46"/>
  </mergeCells>
  <dataValidations count="18">
    <dataValidation type="list" allowBlank="1" showInputMessage="1" showErrorMessage="1" sqref="C11">
      <formula1>$D$5:$D$6</formula1>
    </dataValidation>
    <dataValidation type="whole" allowBlank="1" showInputMessage="1" showErrorMessage="1" sqref="C6:C10">
      <formula1>0</formula1>
      <formula2>14</formula2>
    </dataValidation>
    <dataValidation type="whole" allowBlank="1" showInputMessage="1" showErrorMessage="1" sqref="C12">
      <formula1>0</formula1>
      <formula2>5</formula2>
    </dataValidation>
    <dataValidation type="decimal" allowBlank="1" showInputMessage="1" showErrorMessage="1" sqref="C4:C5">
      <formula1>0</formula1>
      <formula2>100</formula2>
    </dataValidation>
    <dataValidation type="list" allowBlank="1" showInputMessage="1" showErrorMessage="1" sqref="C13">
      <formula1>$D$13:$D$20</formula1>
    </dataValidation>
    <dataValidation type="list" allowBlank="1" showInputMessage="1" showErrorMessage="1" sqref="C14">
      <formula1>$F$13:$F$18</formula1>
    </dataValidation>
    <dataValidation type="list" allowBlank="1" showInputMessage="1" showErrorMessage="1" sqref="C26 C47 C66 C61 C56 C51 C39 C37 C32 C15:C24">
      <formula1>$H$13:$H$14</formula1>
    </dataValidation>
    <dataValidation type="whole" allowBlank="1" showInputMessage="1" showErrorMessage="1" sqref="C25">
      <formula1>0</formula1>
      <formula2>30</formula2>
    </dataValidation>
    <dataValidation type="whole" allowBlank="1" showInputMessage="1" showErrorMessage="1" sqref="C27">
      <formula1>0</formula1>
      <formula2>10000</formula2>
    </dataValidation>
    <dataValidation type="whole" allowBlank="1" showInputMessage="1" showErrorMessage="1" sqref="C30">
      <formula1>1980</formula1>
      <formula2>2023</formula2>
    </dataValidation>
    <dataValidation type="list" allowBlank="1" showInputMessage="1" showErrorMessage="1" sqref="C29">
      <formula1>$A$35:$A$37</formula1>
    </dataValidation>
    <dataValidation type="whole" allowBlank="1" showInputMessage="1" showErrorMessage="1" sqref="C35">
      <formula1>0</formula1>
      <formula2>100</formula2>
    </dataValidation>
    <dataValidation type="whole" allowBlank="1" showInputMessage="1" showErrorMessage="1" sqref="C36 C40:C41">
      <formula1>0</formula1>
      <formula2>C35</formula2>
    </dataValidation>
    <dataValidation type="whole" allowBlank="1" showInputMessage="1" showErrorMessage="1" sqref="C49 C54 C59 C64">
      <formula1>18</formula1>
      <formula2>130</formula2>
    </dataValidation>
    <dataValidation type="whole" allowBlank="1" showInputMessage="1" showErrorMessage="1" sqref="C52 C57 C62 C67">
      <formula1>0</formula1>
      <formula2>20</formula2>
    </dataValidation>
    <dataValidation type="whole" allowBlank="1" showInputMessage="1" showErrorMessage="1" sqref="C44">
      <formula1>0</formula1>
      <formula2>C40</formula2>
    </dataValidation>
    <dataValidation type="list" allowBlank="1" showInputMessage="1" showErrorMessage="1" sqref="C38 C60 C50 C55 C65">
      <formula1>$A$38:$A$42</formula1>
    </dataValidation>
    <dataValidation type="list" allowBlank="1" showInputMessage="1" showErrorMessage="1" sqref="B69">
      <formula1>$A$68:$A$70</formula1>
    </dataValidation>
  </dataValidations>
  <hyperlinks>
    <hyperlink ref="B2" location="Inicio!A1" display="Ir a inicio"/>
  </hyperlink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Orientación Educativa</vt:lpstr>
      <vt:lpstr>Catedráticos EA</vt:lpstr>
      <vt:lpstr>Profesores EA</vt:lpstr>
      <vt:lpstr>Profesores Conservatorios</vt:lpstr>
      <vt:lpstr>Catedráticos Conservatorios</vt:lpstr>
      <vt:lpstr>Profesores EOI</vt:lpstr>
      <vt:lpstr>Datos</vt:lpstr>
      <vt:lpstr>Maestros</vt:lpstr>
      <vt:lpstr>Catedráticos EOI</vt:lpstr>
      <vt:lpstr>Catedráticos Secundaria</vt:lpstr>
      <vt:lpstr>Profesores Secundaria</vt:lpstr>
      <vt:lpstr>Especialistas Sec. Singulares</vt:lpstr>
      <vt:lpstr>PTFP</vt:lpstr>
      <vt:lpstr>Inspectores</vt:lpstr>
      <vt:lpstr>Orientadores</vt:lpstr>
      <vt:lpstr>Inicio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</dc:creator>
  <cp:lastModifiedBy>Alfonso</cp:lastModifiedBy>
  <dcterms:created xsi:type="dcterms:W3CDTF">2023-12-23T06:50:50Z</dcterms:created>
  <dcterms:modified xsi:type="dcterms:W3CDTF">2024-03-06T11:38:21Z</dcterms:modified>
</cp:coreProperties>
</file>