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lfon\Desktop\UGT\Calculadoras\"/>
    </mc:Choice>
  </mc:AlternateContent>
  <xr:revisionPtr revIDLastSave="0" documentId="13_ncr:1_{5B6B263B-ABAC-4EF3-82D3-007C804A207F}" xr6:coauthVersionLast="47" xr6:coauthVersionMax="47" xr10:uidLastSave="{00000000-0000-0000-0000-000000000000}"/>
  <workbookProtection workbookAlgorithmName="SHA-512" workbookHashValue="ZhQI0736YVfp6cGlaTXjc+8JjJKdkGgMif94UFmxYJYmCyhSNd+og0XZnofH4PjxOGbvyynsljO34JH7KB3whA==" workbookSaltValue="78E8zKs8Lyh8b8QOaGs3zA==" workbookSpinCount="100000" lockStructure="1"/>
  <bookViews>
    <workbookView showSheetTabs="0" xWindow="-98" yWindow="-98" windowWidth="21795" windowHeight="14235" tabRatio="426" firstSheet="11" activeTab="15" xr2:uid="{00000000-000D-0000-FFFF-FFFF00000000}"/>
  </bookViews>
  <sheets>
    <sheet name="Orientación Educativa" sheetId="18" r:id="rId1"/>
    <sheet name="Catedráticos EA" sheetId="17" r:id="rId2"/>
    <sheet name="Profesores EA" sheetId="16" r:id="rId3"/>
    <sheet name="Profesores Conservatorios" sheetId="15" r:id="rId4"/>
    <sheet name="Catedráticos Conservatorios" sheetId="14" r:id="rId5"/>
    <sheet name="Profesores EOI" sheetId="13" r:id="rId6"/>
    <sheet name="Datos" sheetId="1" r:id="rId7"/>
    <sheet name="Catedráticos EOI" sheetId="9" r:id="rId8"/>
    <sheet name="Maestros" sheetId="2" r:id="rId9"/>
    <sheet name="Catedráticos Secundaria" sheetId="12" r:id="rId10"/>
    <sheet name="Profesores Secundaria" sheetId="7" r:id="rId11"/>
    <sheet name="Especialistas Sec. Singulares" sheetId="10" r:id="rId12"/>
    <sheet name="PTFP" sheetId="8" r:id="rId13"/>
    <sheet name="Inspectores" sheetId="11" r:id="rId14"/>
    <sheet name="Orientadores" sheetId="3" r:id="rId15"/>
    <sheet name="Inicio" sheetId="4" r:id="rId1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E59" i="1"/>
  <c r="E45" i="1"/>
  <c r="E46" i="1"/>
  <c r="E47" i="1"/>
  <c r="E44" i="1"/>
  <c r="E43" i="1"/>
  <c r="E24" i="1"/>
  <c r="E14" i="1"/>
  <c r="L6" i="11"/>
  <c r="L6" i="2"/>
  <c r="L28" i="7" l="1"/>
  <c r="L40" i="8"/>
  <c r="L69" i="18"/>
  <c r="L68" i="17"/>
  <c r="L68" i="16"/>
  <c r="L68" i="15"/>
  <c r="L68" i="14"/>
  <c r="L68" i="13"/>
  <c r="L69" i="2"/>
  <c r="L68" i="9"/>
  <c r="L69" i="12"/>
  <c r="L69" i="10"/>
  <c r="L69" i="8"/>
  <c r="L68" i="11"/>
  <c r="L69" i="7"/>
  <c r="L10" i="11"/>
  <c r="L10" i="8"/>
  <c r="L10" i="10"/>
  <c r="L10" i="12"/>
  <c r="L10" i="9"/>
  <c r="L10" i="2"/>
  <c r="L10" i="13"/>
  <c r="L10" i="14"/>
  <c r="L10" i="15"/>
  <c r="L10" i="16"/>
  <c r="L10" i="17"/>
  <c r="L10" i="18"/>
  <c r="L10" i="7"/>
  <c r="F27" i="1"/>
  <c r="F28" i="1" s="1"/>
  <c r="F29" i="1" s="1"/>
  <c r="F30" i="1" s="1"/>
  <c r="F26" i="1"/>
  <c r="L29" i="7"/>
  <c r="L27" i="11" l="1"/>
  <c r="L28" i="11" s="1"/>
  <c r="L28" i="18"/>
  <c r="L29" i="18" s="1"/>
  <c r="L27" i="16"/>
  <c r="L28" i="16" s="1"/>
  <c r="L27" i="17"/>
  <c r="L28" i="17" s="1"/>
  <c r="L27" i="15"/>
  <c r="L28" i="15" s="1"/>
  <c r="L27" i="14"/>
  <c r="L28" i="14" s="1"/>
  <c r="L27" i="9"/>
  <c r="L28" i="9" s="1"/>
  <c r="L28" i="12"/>
  <c r="L29" i="12" s="1"/>
  <c r="L9" i="2" l="1"/>
  <c r="L23" i="18"/>
  <c r="M23" i="18" s="1"/>
  <c r="L23" i="8"/>
  <c r="M23" i="8" s="1"/>
  <c r="L23" i="10"/>
  <c r="M23" i="10" s="1"/>
  <c r="L23" i="7"/>
  <c r="M23" i="7" s="1"/>
  <c r="L23" i="12"/>
  <c r="L27" i="2"/>
  <c r="M27" i="2" s="1"/>
  <c r="L23" i="2"/>
  <c r="C82" i="18" l="1"/>
  <c r="B97" i="18" s="1"/>
  <c r="C78" i="18"/>
  <c r="C77" i="18"/>
  <c r="L76" i="18"/>
  <c r="C76" i="18"/>
  <c r="C75" i="18"/>
  <c r="C74" i="18"/>
  <c r="C73" i="18"/>
  <c r="C72" i="18"/>
  <c r="C71" i="18"/>
  <c r="C69" i="18"/>
  <c r="M51" i="18"/>
  <c r="L46" i="18" s="1"/>
  <c r="L47" i="18"/>
  <c r="L44" i="18"/>
  <c r="M41" i="18"/>
  <c r="L40" i="18" s="1"/>
  <c r="L41" i="18"/>
  <c r="D38" i="18"/>
  <c r="Q35" i="18"/>
  <c r="Q36" i="18" s="1"/>
  <c r="M49" i="18" s="1"/>
  <c r="L43" i="18" s="1"/>
  <c r="F34" i="18"/>
  <c r="E33" i="18"/>
  <c r="H32" i="18"/>
  <c r="E32" i="18"/>
  <c r="H31" i="18"/>
  <c r="F31" i="18"/>
  <c r="B31" i="18"/>
  <c r="L30" i="18"/>
  <c r="H30" i="18"/>
  <c r="F30" i="18"/>
  <c r="M29" i="18"/>
  <c r="H29" i="18"/>
  <c r="F29" i="18"/>
  <c r="M28" i="18"/>
  <c r="H28" i="18"/>
  <c r="G28" i="18"/>
  <c r="F28" i="18"/>
  <c r="E28" i="18"/>
  <c r="L26" i="18"/>
  <c r="M26" i="18" s="1"/>
  <c r="D26" i="18"/>
  <c r="D25" i="18"/>
  <c r="L24" i="18"/>
  <c r="D24" i="18"/>
  <c r="L22" i="18"/>
  <c r="M22" i="18" s="1"/>
  <c r="L21" i="18"/>
  <c r="M21" i="18" s="1"/>
  <c r="D21" i="18"/>
  <c r="L25" i="18" s="1"/>
  <c r="M25" i="18" s="1"/>
  <c r="L20" i="18"/>
  <c r="M20" i="18" s="1"/>
  <c r="L19" i="18"/>
  <c r="M19" i="18" s="1"/>
  <c r="J19" i="18"/>
  <c r="L18" i="18"/>
  <c r="M18" i="18" s="1"/>
  <c r="J18" i="18"/>
  <c r="L17" i="18"/>
  <c r="M17" i="18" s="1"/>
  <c r="J17" i="18"/>
  <c r="L16" i="18"/>
  <c r="M16" i="18" s="1"/>
  <c r="J16" i="18"/>
  <c r="L15" i="18"/>
  <c r="M15" i="18" s="1"/>
  <c r="J15" i="18"/>
  <c r="L14" i="18"/>
  <c r="M14" i="18" s="1"/>
  <c r="N13" i="18"/>
  <c r="L13" i="18"/>
  <c r="M13" i="18" s="1"/>
  <c r="L12" i="18"/>
  <c r="M12" i="18" s="1"/>
  <c r="D12" i="18"/>
  <c r="G30" i="18" s="1"/>
  <c r="L11" i="18"/>
  <c r="M11" i="18" s="1"/>
  <c r="M10" i="18"/>
  <c r="B10" i="18"/>
  <c r="B9" i="18"/>
  <c r="B8" i="18"/>
  <c r="B7" i="18"/>
  <c r="B6" i="18"/>
  <c r="B94" i="17"/>
  <c r="C81" i="17"/>
  <c r="B92" i="17" s="1"/>
  <c r="C77" i="17"/>
  <c r="C76" i="17"/>
  <c r="L75" i="17"/>
  <c r="C75" i="17"/>
  <c r="L44" i="17" s="1"/>
  <c r="C74" i="17"/>
  <c r="C73" i="17"/>
  <c r="C72" i="17"/>
  <c r="C71" i="17"/>
  <c r="C70" i="17"/>
  <c r="C68" i="17"/>
  <c r="M50" i="17"/>
  <c r="L45" i="17" s="1"/>
  <c r="M48" i="17"/>
  <c r="L42" i="17" s="1"/>
  <c r="L46" i="17"/>
  <c r="L43" i="17"/>
  <c r="L41" i="17"/>
  <c r="M40" i="17"/>
  <c r="L39" i="17" s="1"/>
  <c r="L40" i="17"/>
  <c r="D37" i="17"/>
  <c r="Q35" i="17"/>
  <c r="Q34" i="17"/>
  <c r="F33" i="17"/>
  <c r="E32" i="17"/>
  <c r="H31" i="17"/>
  <c r="E31" i="17"/>
  <c r="H30" i="17"/>
  <c r="F30" i="17"/>
  <c r="B30" i="17"/>
  <c r="L29" i="17"/>
  <c r="H29" i="17"/>
  <c r="F29" i="17"/>
  <c r="M28" i="17"/>
  <c r="H28" i="17"/>
  <c r="F28" i="17"/>
  <c r="M27" i="17"/>
  <c r="H27" i="17"/>
  <c r="F27" i="17"/>
  <c r="L25" i="17"/>
  <c r="M25" i="17" s="1"/>
  <c r="D25" i="17"/>
  <c r="D24" i="17"/>
  <c r="L23" i="17"/>
  <c r="M23" i="17" s="1"/>
  <c r="D23" i="17"/>
  <c r="L22" i="17"/>
  <c r="M22" i="17" s="1"/>
  <c r="L21" i="17"/>
  <c r="M21" i="17" s="1"/>
  <c r="D21" i="17"/>
  <c r="L24" i="17" s="1"/>
  <c r="M24" i="17" s="1"/>
  <c r="L20" i="17"/>
  <c r="M20" i="17" s="1"/>
  <c r="L19" i="17"/>
  <c r="M19" i="17" s="1"/>
  <c r="J19" i="17"/>
  <c r="L18" i="17"/>
  <c r="M18" i="17" s="1"/>
  <c r="J18" i="17"/>
  <c r="L17" i="17"/>
  <c r="M17" i="17" s="1"/>
  <c r="J17" i="17"/>
  <c r="L16" i="17"/>
  <c r="M16" i="17" s="1"/>
  <c r="J16" i="17"/>
  <c r="L14" i="17"/>
  <c r="M14" i="17" s="1"/>
  <c r="N13" i="17"/>
  <c r="L13" i="17"/>
  <c r="M13" i="17" s="1"/>
  <c r="L12" i="17"/>
  <c r="M12" i="17" s="1"/>
  <c r="D12" i="17"/>
  <c r="G28" i="17" s="1"/>
  <c r="L11" i="17"/>
  <c r="M11" i="17" s="1"/>
  <c r="M10" i="17"/>
  <c r="B10" i="17"/>
  <c r="L9" i="17"/>
  <c r="B9" i="17"/>
  <c r="B8" i="17"/>
  <c r="B7" i="17"/>
  <c r="B6" i="17"/>
  <c r="B95" i="16"/>
  <c r="B94" i="16"/>
  <c r="C81" i="16"/>
  <c r="B92" i="16" s="1"/>
  <c r="C77" i="16"/>
  <c r="C76" i="16"/>
  <c r="L75" i="16"/>
  <c r="C75" i="16"/>
  <c r="C74" i="16"/>
  <c r="C73" i="16"/>
  <c r="C72" i="16"/>
  <c r="C71" i="16"/>
  <c r="C70" i="16"/>
  <c r="C68" i="16"/>
  <c r="M50" i="16"/>
  <c r="L46" i="16"/>
  <c r="L45" i="16"/>
  <c r="L43" i="16"/>
  <c r="M40" i="16"/>
  <c r="L39" i="16" s="1"/>
  <c r="L40" i="16"/>
  <c r="D37" i="16"/>
  <c r="Q34" i="16"/>
  <c r="Q35" i="16" s="1"/>
  <c r="M48" i="16" s="1"/>
  <c r="L42" i="16" s="1"/>
  <c r="F33" i="16"/>
  <c r="G32" i="16"/>
  <c r="E32" i="16"/>
  <c r="H31" i="16"/>
  <c r="E31" i="16"/>
  <c r="H30" i="16"/>
  <c r="F30" i="16"/>
  <c r="B30" i="16"/>
  <c r="L29" i="16"/>
  <c r="H29" i="16"/>
  <c r="F29" i="16"/>
  <c r="M28" i="16"/>
  <c r="H28" i="16"/>
  <c r="F28" i="16"/>
  <c r="M27" i="16"/>
  <c r="H27" i="16"/>
  <c r="F27" i="16"/>
  <c r="L25" i="16"/>
  <c r="M25" i="16" s="1"/>
  <c r="D25" i="16"/>
  <c r="D24" i="16"/>
  <c r="L23" i="16"/>
  <c r="M23" i="16" s="1"/>
  <c r="D23" i="16"/>
  <c r="L22" i="16"/>
  <c r="M22" i="16" s="1"/>
  <c r="L21" i="16"/>
  <c r="M21" i="16" s="1"/>
  <c r="D21" i="16"/>
  <c r="L24" i="16" s="1"/>
  <c r="M24" i="16" s="1"/>
  <c r="L20" i="16"/>
  <c r="M20" i="16" s="1"/>
  <c r="M19" i="16"/>
  <c r="M18" i="16"/>
  <c r="M17" i="16"/>
  <c r="L15" i="16"/>
  <c r="M15" i="16" s="1"/>
  <c r="L14" i="16"/>
  <c r="M14" i="16" s="1"/>
  <c r="N13" i="16"/>
  <c r="L13" i="16"/>
  <c r="M13" i="16" s="1"/>
  <c r="L12" i="16"/>
  <c r="M12" i="16" s="1"/>
  <c r="D12" i="16"/>
  <c r="G28" i="16" s="1"/>
  <c r="L11" i="16"/>
  <c r="M11" i="16" s="1"/>
  <c r="M10" i="16"/>
  <c r="B10" i="16"/>
  <c r="L9" i="16"/>
  <c r="B9" i="16"/>
  <c r="B8" i="16"/>
  <c r="B7" i="16"/>
  <c r="B6" i="16"/>
  <c r="B95" i="15"/>
  <c r="B94" i="15"/>
  <c r="B93" i="15"/>
  <c r="B92" i="15"/>
  <c r="C81" i="15"/>
  <c r="B91" i="15" s="1"/>
  <c r="C77" i="15"/>
  <c r="C76" i="15"/>
  <c r="L75" i="15"/>
  <c r="C75" i="15"/>
  <c r="C74" i="15"/>
  <c r="C73" i="15"/>
  <c r="C72" i="15"/>
  <c r="C71" i="15"/>
  <c r="C70" i="15"/>
  <c r="C68" i="15"/>
  <c r="M50" i="15"/>
  <c r="L46" i="15"/>
  <c r="L45" i="15"/>
  <c r="L43" i="15"/>
  <c r="M40" i="15"/>
  <c r="L39" i="15" s="1"/>
  <c r="L40" i="15"/>
  <c r="D37" i="15"/>
  <c r="Q34" i="15"/>
  <c r="Q35" i="15" s="1"/>
  <c r="M48" i="15" s="1"/>
  <c r="L42" i="15" s="1"/>
  <c r="G33" i="15"/>
  <c r="F33" i="15"/>
  <c r="G32" i="15"/>
  <c r="E32" i="15"/>
  <c r="H31" i="15"/>
  <c r="G31" i="15"/>
  <c r="E31" i="15"/>
  <c r="H30" i="15"/>
  <c r="F30" i="15"/>
  <c r="E30" i="15"/>
  <c r="B30" i="15"/>
  <c r="L29" i="15"/>
  <c r="H29" i="15"/>
  <c r="F29" i="15"/>
  <c r="M28" i="15"/>
  <c r="H28" i="15"/>
  <c r="G28" i="15"/>
  <c r="F28" i="15"/>
  <c r="M27" i="15"/>
  <c r="H27" i="15"/>
  <c r="F27" i="15"/>
  <c r="E27" i="15"/>
  <c r="L25" i="15"/>
  <c r="M25" i="15" s="1"/>
  <c r="D25" i="15"/>
  <c r="D24" i="15"/>
  <c r="L23" i="15"/>
  <c r="M23" i="15" s="1"/>
  <c r="D23" i="15"/>
  <c r="L22" i="15"/>
  <c r="M22" i="15" s="1"/>
  <c r="L21" i="15"/>
  <c r="M21" i="15" s="1"/>
  <c r="D21" i="15"/>
  <c r="L24" i="15" s="1"/>
  <c r="M24" i="15" s="1"/>
  <c r="L20" i="15"/>
  <c r="M20" i="15" s="1"/>
  <c r="M19" i="15"/>
  <c r="M18" i="15"/>
  <c r="M17" i="15"/>
  <c r="L15" i="15"/>
  <c r="M15" i="15" s="1"/>
  <c r="L14" i="15"/>
  <c r="M14" i="15" s="1"/>
  <c r="N13" i="15"/>
  <c r="L13" i="15"/>
  <c r="M13" i="15" s="1"/>
  <c r="L12" i="15"/>
  <c r="M12" i="15" s="1"/>
  <c r="D12" i="15"/>
  <c r="G29" i="15" s="1"/>
  <c r="L11" i="15"/>
  <c r="M11" i="15" s="1"/>
  <c r="M10" i="15"/>
  <c r="B10" i="15"/>
  <c r="B9" i="15"/>
  <c r="B8" i="15"/>
  <c r="B7" i="15"/>
  <c r="B6" i="15"/>
  <c r="B93" i="14"/>
  <c r="C81" i="14"/>
  <c r="B92" i="14" s="1"/>
  <c r="C77" i="14"/>
  <c r="C76" i="14"/>
  <c r="L75" i="14"/>
  <c r="C75" i="14"/>
  <c r="C74" i="14"/>
  <c r="C73" i="14"/>
  <c r="C72" i="14"/>
  <c r="C71" i="14"/>
  <c r="C70" i="14"/>
  <c r="L41" i="14" s="1"/>
  <c r="C68" i="14"/>
  <c r="M50" i="14"/>
  <c r="M48" i="14"/>
  <c r="L42" i="14" s="1"/>
  <c r="L46" i="14"/>
  <c r="L45" i="14"/>
  <c r="L43" i="14"/>
  <c r="M40" i="14"/>
  <c r="L39" i="14" s="1"/>
  <c r="L40" i="14"/>
  <c r="D37" i="14"/>
  <c r="Q34" i="14"/>
  <c r="Q35" i="14" s="1"/>
  <c r="F33" i="14"/>
  <c r="E32" i="14"/>
  <c r="H31" i="14"/>
  <c r="E31" i="14"/>
  <c r="H30" i="14"/>
  <c r="F30" i="14"/>
  <c r="B30" i="14"/>
  <c r="L29" i="14"/>
  <c r="H29" i="14"/>
  <c r="F29" i="14"/>
  <c r="H28" i="14"/>
  <c r="F28" i="14"/>
  <c r="M27" i="14"/>
  <c r="H27" i="14"/>
  <c r="F27" i="14"/>
  <c r="L25" i="14"/>
  <c r="M25" i="14" s="1"/>
  <c r="D25" i="14"/>
  <c r="D24" i="14"/>
  <c r="L23" i="14"/>
  <c r="M23" i="14" s="1"/>
  <c r="D23" i="14"/>
  <c r="L22" i="14"/>
  <c r="M22" i="14" s="1"/>
  <c r="L21" i="14"/>
  <c r="M21" i="14" s="1"/>
  <c r="D21" i="14"/>
  <c r="L24" i="14" s="1"/>
  <c r="M24" i="14" s="1"/>
  <c r="L20" i="14"/>
  <c r="M20" i="14" s="1"/>
  <c r="L19" i="14"/>
  <c r="M19" i="14" s="1"/>
  <c r="J19" i="14"/>
  <c r="L18" i="14"/>
  <c r="M18" i="14" s="1"/>
  <c r="J18" i="14"/>
  <c r="L17" i="14"/>
  <c r="M17" i="14" s="1"/>
  <c r="J17" i="14"/>
  <c r="L16" i="14"/>
  <c r="M16" i="14" s="1"/>
  <c r="J16" i="14"/>
  <c r="L14" i="14"/>
  <c r="M14" i="14" s="1"/>
  <c r="N13" i="14"/>
  <c r="L13" i="14"/>
  <c r="M13" i="14" s="1"/>
  <c r="L12" i="14"/>
  <c r="M12" i="14" s="1"/>
  <c r="D12" i="14"/>
  <c r="G28" i="14" s="1"/>
  <c r="M10" i="14"/>
  <c r="B10" i="14"/>
  <c r="L9" i="14"/>
  <c r="B9" i="14"/>
  <c r="B8" i="14"/>
  <c r="B7" i="14"/>
  <c r="B6" i="14"/>
  <c r="L15" i="13"/>
  <c r="M15" i="13" s="1"/>
  <c r="B96" i="13"/>
  <c r="B95" i="13"/>
  <c r="B94" i="13"/>
  <c r="B93" i="13"/>
  <c r="B92" i="13"/>
  <c r="B91" i="13"/>
  <c r="C81" i="13"/>
  <c r="C77" i="13"/>
  <c r="C76" i="13"/>
  <c r="L75" i="13"/>
  <c r="C75" i="13"/>
  <c r="C74" i="13"/>
  <c r="C73" i="13"/>
  <c r="C72" i="13"/>
  <c r="C71" i="13"/>
  <c r="C70" i="13"/>
  <c r="C68" i="13"/>
  <c r="M50" i="13"/>
  <c r="L46" i="13"/>
  <c r="L45" i="13"/>
  <c r="L43" i="13"/>
  <c r="M40" i="13"/>
  <c r="L40" i="13"/>
  <c r="L39" i="13"/>
  <c r="D37" i="13"/>
  <c r="Q34" i="13"/>
  <c r="Q35" i="13" s="1"/>
  <c r="M48" i="13" s="1"/>
  <c r="L42" i="13" s="1"/>
  <c r="F33" i="13"/>
  <c r="E32" i="13"/>
  <c r="H31" i="13"/>
  <c r="E31" i="13"/>
  <c r="H30" i="13"/>
  <c r="F30" i="13"/>
  <c r="B30" i="13"/>
  <c r="L29" i="13"/>
  <c r="H29" i="13"/>
  <c r="F29" i="13"/>
  <c r="M28" i="13"/>
  <c r="H28" i="13"/>
  <c r="F28" i="13"/>
  <c r="M27" i="13"/>
  <c r="H27" i="13"/>
  <c r="F27" i="13"/>
  <c r="L25" i="13"/>
  <c r="M25" i="13" s="1"/>
  <c r="D25" i="13"/>
  <c r="D24" i="13"/>
  <c r="L23" i="13"/>
  <c r="M23" i="13" s="1"/>
  <c r="D23" i="13"/>
  <c r="L22" i="13"/>
  <c r="M22" i="13" s="1"/>
  <c r="L21" i="13"/>
  <c r="M21" i="13" s="1"/>
  <c r="D21" i="13"/>
  <c r="L20" i="13"/>
  <c r="M20" i="13" s="1"/>
  <c r="M19" i="13"/>
  <c r="M18" i="13"/>
  <c r="M17" i="13"/>
  <c r="L14" i="13"/>
  <c r="M14" i="13" s="1"/>
  <c r="N13" i="13"/>
  <c r="M10" i="13" s="1"/>
  <c r="L13" i="13"/>
  <c r="M13" i="13" s="1"/>
  <c r="L12" i="13"/>
  <c r="M12" i="13" s="1"/>
  <c r="D12" i="13"/>
  <c r="G29" i="13" s="1"/>
  <c r="L11" i="13"/>
  <c r="M11" i="13" s="1"/>
  <c r="B10" i="13"/>
  <c r="B9" i="13"/>
  <c r="B8" i="13"/>
  <c r="B7" i="13"/>
  <c r="B6" i="13"/>
  <c r="C82" i="12"/>
  <c r="B97" i="12" s="1"/>
  <c r="C78" i="12"/>
  <c r="C77" i="12"/>
  <c r="L76" i="12"/>
  <c r="C76" i="12"/>
  <c r="C75" i="12"/>
  <c r="L45" i="12" s="1"/>
  <c r="C74" i="12"/>
  <c r="C73" i="12"/>
  <c r="C72" i="12"/>
  <c r="C71" i="12"/>
  <c r="C69" i="12"/>
  <c r="M51" i="12"/>
  <c r="L46" i="12" s="1"/>
  <c r="M49" i="12"/>
  <c r="L43" i="12" s="1"/>
  <c r="L47" i="12"/>
  <c r="L44" i="12"/>
  <c r="M41" i="12"/>
  <c r="L40" i="12" s="1"/>
  <c r="L41" i="12"/>
  <c r="D38" i="12"/>
  <c r="Q35" i="12"/>
  <c r="Q36" i="12" s="1"/>
  <c r="F34" i="12"/>
  <c r="E33" i="12"/>
  <c r="H32" i="12"/>
  <c r="E32" i="12"/>
  <c r="H31" i="12"/>
  <c r="F31" i="12"/>
  <c r="B31" i="12"/>
  <c r="L30" i="12"/>
  <c r="H30" i="12"/>
  <c r="F30" i="12"/>
  <c r="M29" i="12"/>
  <c r="H29" i="12"/>
  <c r="F29" i="12"/>
  <c r="M28" i="12"/>
  <c r="H28" i="12"/>
  <c r="F28" i="12"/>
  <c r="L26" i="12"/>
  <c r="M26" i="12" s="1"/>
  <c r="D26" i="12"/>
  <c r="D25" i="12"/>
  <c r="L24" i="12"/>
  <c r="M24" i="12" s="1"/>
  <c r="D24" i="12"/>
  <c r="L22" i="12"/>
  <c r="M22" i="12" s="1"/>
  <c r="L21" i="12"/>
  <c r="M21" i="12" s="1"/>
  <c r="D21" i="12"/>
  <c r="L25" i="12" s="1"/>
  <c r="M25" i="12" s="1"/>
  <c r="L20" i="12"/>
  <c r="M20" i="12" s="1"/>
  <c r="L19" i="12"/>
  <c r="M19" i="12" s="1"/>
  <c r="J19" i="12"/>
  <c r="L18" i="12"/>
  <c r="M18" i="12" s="1"/>
  <c r="J18" i="12"/>
  <c r="L17" i="12"/>
  <c r="M17" i="12" s="1"/>
  <c r="J17" i="12"/>
  <c r="L16" i="12"/>
  <c r="M16" i="12" s="1"/>
  <c r="J16" i="12"/>
  <c r="L15" i="12"/>
  <c r="M15" i="12" s="1"/>
  <c r="J15" i="12"/>
  <c r="L14" i="12"/>
  <c r="M14" i="12" s="1"/>
  <c r="N13" i="12"/>
  <c r="L13" i="12"/>
  <c r="M13" i="12" s="1"/>
  <c r="L12" i="12"/>
  <c r="M12" i="12" s="1"/>
  <c r="D12" i="12"/>
  <c r="G30" i="12" s="1"/>
  <c r="L11" i="12"/>
  <c r="M11" i="12" s="1"/>
  <c r="M10" i="12"/>
  <c r="B10" i="12"/>
  <c r="L9" i="12"/>
  <c r="B9" i="12"/>
  <c r="B8" i="12"/>
  <c r="B7" i="12"/>
  <c r="B6" i="12"/>
  <c r="C90" i="13" l="1"/>
  <c r="E30" i="18"/>
  <c r="L15" i="17"/>
  <c r="M15" i="17" s="1"/>
  <c r="G27" i="15"/>
  <c r="G31" i="16"/>
  <c r="G33" i="18"/>
  <c r="E29" i="16"/>
  <c r="G27" i="17"/>
  <c r="E30" i="17"/>
  <c r="G34" i="18"/>
  <c r="L47" i="17"/>
  <c r="E31" i="18"/>
  <c r="B92" i="18"/>
  <c r="B93" i="17"/>
  <c r="B93" i="18"/>
  <c r="G27" i="16"/>
  <c r="G33" i="16"/>
  <c r="G29" i="18"/>
  <c r="B94" i="18"/>
  <c r="L44" i="14"/>
  <c r="E30" i="16"/>
  <c r="G31" i="17"/>
  <c r="B95" i="17"/>
  <c r="B95" i="18"/>
  <c r="L42" i="12"/>
  <c r="E29" i="15"/>
  <c r="B96" i="15"/>
  <c r="C90" i="15" s="1"/>
  <c r="B93" i="16"/>
  <c r="B96" i="17"/>
  <c r="G32" i="18"/>
  <c r="B96" i="18"/>
  <c r="L41" i="15"/>
  <c r="L44" i="15"/>
  <c r="L41" i="16"/>
  <c r="L44" i="16"/>
  <c r="L44" i="13"/>
  <c r="L41" i="13"/>
  <c r="L42" i="18"/>
  <c r="L45" i="18"/>
  <c r="G31" i="18"/>
  <c r="E29" i="18"/>
  <c r="G32" i="17"/>
  <c r="E29" i="17"/>
  <c r="G33" i="17"/>
  <c r="G30" i="17"/>
  <c r="E28" i="17"/>
  <c r="G29" i="17"/>
  <c r="B91" i="17"/>
  <c r="C90" i="17" s="1"/>
  <c r="E27" i="17"/>
  <c r="L16" i="16"/>
  <c r="B96" i="16"/>
  <c r="G30" i="16"/>
  <c r="E28" i="16"/>
  <c r="G29" i="16"/>
  <c r="B91" i="16"/>
  <c r="C90" i="16" s="1"/>
  <c r="E27" i="16"/>
  <c r="L16" i="15"/>
  <c r="M16" i="15" s="1"/>
  <c r="G30" i="15"/>
  <c r="E28" i="15"/>
  <c r="L47" i="14"/>
  <c r="L15" i="14"/>
  <c r="M15" i="14" s="1"/>
  <c r="G27" i="14"/>
  <c r="G31" i="14"/>
  <c r="B94" i="14"/>
  <c r="E30" i="14"/>
  <c r="B95" i="14"/>
  <c r="E29" i="14"/>
  <c r="G33" i="14"/>
  <c r="B96" i="14"/>
  <c r="G32" i="14"/>
  <c r="G30" i="14"/>
  <c r="E28" i="14"/>
  <c r="G29" i="14"/>
  <c r="B91" i="14"/>
  <c r="E27" i="14"/>
  <c r="L11" i="14" s="1"/>
  <c r="M11" i="14" s="1"/>
  <c r="G28" i="13"/>
  <c r="G31" i="13"/>
  <c r="G33" i="13"/>
  <c r="E27" i="13"/>
  <c r="L16" i="13" s="1"/>
  <c r="E30" i="13"/>
  <c r="G27" i="13"/>
  <c r="E29" i="13"/>
  <c r="G32" i="13"/>
  <c r="G30" i="13"/>
  <c r="E28" i="13"/>
  <c r="L48" i="12"/>
  <c r="E28" i="12"/>
  <c r="G29" i="12"/>
  <c r="B93" i="12"/>
  <c r="G33" i="12"/>
  <c r="B94" i="12"/>
  <c r="B92" i="12"/>
  <c r="G28" i="12"/>
  <c r="G32" i="12"/>
  <c r="B95" i="12"/>
  <c r="E31" i="12"/>
  <c r="B96" i="12"/>
  <c r="E30" i="12"/>
  <c r="G34" i="12"/>
  <c r="G31" i="12"/>
  <c r="E29" i="12"/>
  <c r="C90" i="14" l="1"/>
  <c r="C91" i="18"/>
  <c r="C91" i="12"/>
  <c r="L47" i="16"/>
  <c r="L47" i="15"/>
  <c r="L49" i="15" s="1"/>
  <c r="L54" i="15" s="1"/>
  <c r="L47" i="13"/>
  <c r="L48" i="18"/>
  <c r="M16" i="16"/>
  <c r="L49" i="16"/>
  <c r="L54" i="16" s="1"/>
  <c r="M16" i="13"/>
  <c r="L24" i="13"/>
  <c r="M24" i="13" s="1"/>
  <c r="E148" i="11"/>
  <c r="E137" i="11"/>
  <c r="E138" i="11"/>
  <c r="E139" i="11"/>
  <c r="E140" i="11"/>
  <c r="E141" i="11"/>
  <c r="E142" i="11"/>
  <c r="E143" i="11"/>
  <c r="E144" i="11"/>
  <c r="E145" i="11"/>
  <c r="E146" i="11"/>
  <c r="E147" i="11"/>
  <c r="E134" i="11"/>
  <c r="E135" i="11"/>
  <c r="E136" i="11"/>
  <c r="E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33" i="11"/>
  <c r="I136" i="11" l="1"/>
  <c r="I146" i="11"/>
  <c r="I138" i="11"/>
  <c r="I145" i="11"/>
  <c r="I137" i="11"/>
  <c r="I144" i="11"/>
  <c r="I148" i="11"/>
  <c r="I141" i="11"/>
  <c r="I142" i="11"/>
  <c r="I133" i="11"/>
  <c r="I143" i="11"/>
  <c r="I134" i="11"/>
  <c r="I140" i="11"/>
  <c r="I135" i="11"/>
  <c r="I147" i="11"/>
  <c r="I139" i="11"/>
  <c r="E95" i="1"/>
  <c r="L20" i="11"/>
  <c r="M20" i="11" s="1"/>
  <c r="L14" i="11"/>
  <c r="M14" i="11" s="1"/>
  <c r="L13" i="11"/>
  <c r="M13" i="11" s="1"/>
  <c r="C81" i="11"/>
  <c r="B96" i="11" s="1"/>
  <c r="C77" i="11"/>
  <c r="C76" i="11"/>
  <c r="L75" i="11"/>
  <c r="C75" i="11"/>
  <c r="C74" i="11"/>
  <c r="C73" i="11"/>
  <c r="C72" i="11"/>
  <c r="C71" i="11"/>
  <c r="C70" i="11"/>
  <c r="C68" i="11"/>
  <c r="M50" i="11"/>
  <c r="L45" i="11" s="1"/>
  <c r="L46" i="11"/>
  <c r="L43" i="11"/>
  <c r="M40" i="11"/>
  <c r="L40" i="11"/>
  <c r="L39" i="11"/>
  <c r="D37" i="11"/>
  <c r="Q34" i="11"/>
  <c r="Q35" i="11" s="1"/>
  <c r="M48" i="11" s="1"/>
  <c r="L42" i="11" s="1"/>
  <c r="F33" i="11"/>
  <c r="E32" i="11"/>
  <c r="H31" i="11"/>
  <c r="E31" i="11"/>
  <c r="H30" i="11"/>
  <c r="F30" i="11"/>
  <c r="B30" i="11"/>
  <c r="L29" i="11"/>
  <c r="H29" i="11"/>
  <c r="F29" i="11"/>
  <c r="M28" i="11"/>
  <c r="H28" i="11"/>
  <c r="F28" i="11"/>
  <c r="M27" i="11"/>
  <c r="H27" i="11"/>
  <c r="F27" i="11"/>
  <c r="L25" i="11"/>
  <c r="M25" i="11" s="1"/>
  <c r="D25" i="11"/>
  <c r="D24" i="11"/>
  <c r="L23" i="11"/>
  <c r="M23" i="11" s="1"/>
  <c r="L22" i="11"/>
  <c r="M22" i="11" s="1"/>
  <c r="D21" i="11"/>
  <c r="L24" i="11" s="1"/>
  <c r="M24" i="11" s="1"/>
  <c r="N13" i="11"/>
  <c r="M10" i="11" s="1"/>
  <c r="D12" i="11"/>
  <c r="G30" i="11" s="1"/>
  <c r="B10" i="11"/>
  <c r="B9" i="11"/>
  <c r="B8" i="11"/>
  <c r="B7" i="11"/>
  <c r="B6" i="11"/>
  <c r="B94" i="10"/>
  <c r="C82" i="10"/>
  <c r="B93" i="10" s="1"/>
  <c r="C78" i="10"/>
  <c r="C77" i="10"/>
  <c r="L76" i="10"/>
  <c r="C76" i="10"/>
  <c r="C75" i="10"/>
  <c r="C74" i="10"/>
  <c r="C73" i="10"/>
  <c r="C72" i="10"/>
  <c r="C71" i="10"/>
  <c r="C69" i="10"/>
  <c r="M51" i="10"/>
  <c r="L46" i="10" s="1"/>
  <c r="L47" i="10"/>
  <c r="L44" i="10"/>
  <c r="M41" i="10"/>
  <c r="L40" i="10" s="1"/>
  <c r="L41" i="10"/>
  <c r="D38" i="10"/>
  <c r="Q35" i="10"/>
  <c r="Q36" i="10" s="1"/>
  <c r="M49" i="10" s="1"/>
  <c r="L43" i="10" s="1"/>
  <c r="F34" i="10"/>
  <c r="E33" i="10"/>
  <c r="H32" i="10"/>
  <c r="E32" i="10"/>
  <c r="H31" i="10"/>
  <c r="F31" i="10"/>
  <c r="B31" i="10"/>
  <c r="L30" i="10"/>
  <c r="H30" i="10"/>
  <c r="F30" i="10"/>
  <c r="L29" i="10"/>
  <c r="M29" i="10" s="1"/>
  <c r="H29" i="10"/>
  <c r="F29" i="10"/>
  <c r="L28" i="10"/>
  <c r="H28" i="10"/>
  <c r="F28" i="10"/>
  <c r="L26" i="10"/>
  <c r="M26" i="10" s="1"/>
  <c r="D26" i="10"/>
  <c r="D25" i="10"/>
  <c r="L24" i="10"/>
  <c r="M24" i="10" s="1"/>
  <c r="D24" i="10"/>
  <c r="L22" i="10"/>
  <c r="M22" i="10" s="1"/>
  <c r="L21" i="10"/>
  <c r="M21" i="10" s="1"/>
  <c r="D21" i="10"/>
  <c r="L25" i="10" s="1"/>
  <c r="M25" i="10" s="1"/>
  <c r="L20" i="10"/>
  <c r="M20" i="10" s="1"/>
  <c r="L19" i="10"/>
  <c r="M19" i="10" s="1"/>
  <c r="J19" i="10"/>
  <c r="L18" i="10"/>
  <c r="M18" i="10" s="1"/>
  <c r="J18" i="10"/>
  <c r="L17" i="10"/>
  <c r="M17" i="10" s="1"/>
  <c r="J17" i="10"/>
  <c r="L16" i="10"/>
  <c r="M16" i="10" s="1"/>
  <c r="J16" i="10"/>
  <c r="L15" i="10"/>
  <c r="M15" i="10" s="1"/>
  <c r="J15" i="10"/>
  <c r="L14" i="10"/>
  <c r="M14" i="10" s="1"/>
  <c r="L13" i="10"/>
  <c r="M13" i="10" s="1"/>
  <c r="L12" i="10"/>
  <c r="M12" i="10" s="1"/>
  <c r="D12" i="10"/>
  <c r="G28" i="10" s="1"/>
  <c r="L11" i="10"/>
  <c r="M11" i="10" s="1"/>
  <c r="B10" i="10"/>
  <c r="B9" i="10"/>
  <c r="B8" i="10"/>
  <c r="B7" i="10"/>
  <c r="B6" i="10"/>
  <c r="C81" i="9"/>
  <c r="B92" i="9" s="1"/>
  <c r="C77" i="9"/>
  <c r="C76" i="9"/>
  <c r="L75" i="9"/>
  <c r="C75" i="9"/>
  <c r="C74" i="9"/>
  <c r="C73" i="9"/>
  <c r="C72" i="9"/>
  <c r="C71" i="9"/>
  <c r="C70" i="9"/>
  <c r="L41" i="9" s="1"/>
  <c r="C68" i="9"/>
  <c r="M50" i="9"/>
  <c r="L45" i="9" s="1"/>
  <c r="L46" i="9"/>
  <c r="L43" i="9"/>
  <c r="M40" i="9"/>
  <c r="L39" i="9" s="1"/>
  <c r="L40" i="9"/>
  <c r="D37" i="9"/>
  <c r="Q34" i="9"/>
  <c r="Q35" i="9" s="1"/>
  <c r="M48" i="9" s="1"/>
  <c r="L42" i="9" s="1"/>
  <c r="F33" i="9"/>
  <c r="E32" i="9"/>
  <c r="H31" i="9"/>
  <c r="E31" i="9"/>
  <c r="H30" i="9"/>
  <c r="F30" i="9"/>
  <c r="B30" i="9"/>
  <c r="L29" i="9"/>
  <c r="H29" i="9"/>
  <c r="F29" i="9"/>
  <c r="M28" i="9"/>
  <c r="H28" i="9"/>
  <c r="F28" i="9"/>
  <c r="M27" i="9"/>
  <c r="H27" i="9"/>
  <c r="F27" i="9"/>
  <c r="L25" i="9"/>
  <c r="M25" i="9" s="1"/>
  <c r="D25" i="9"/>
  <c r="D24" i="9"/>
  <c r="L23" i="9"/>
  <c r="M23" i="9" s="1"/>
  <c r="D23" i="9"/>
  <c r="L22" i="9"/>
  <c r="M22" i="9" s="1"/>
  <c r="L21" i="9"/>
  <c r="M21" i="9" s="1"/>
  <c r="D21" i="9"/>
  <c r="L20" i="9"/>
  <c r="M20" i="9" s="1"/>
  <c r="L19" i="9"/>
  <c r="M19" i="9" s="1"/>
  <c r="J19" i="9"/>
  <c r="L18" i="9"/>
  <c r="M18" i="9" s="1"/>
  <c r="J18" i="9"/>
  <c r="L17" i="9"/>
  <c r="M17" i="9" s="1"/>
  <c r="J17" i="9"/>
  <c r="L16" i="9"/>
  <c r="M16" i="9" s="1"/>
  <c r="J16" i="9"/>
  <c r="L14" i="9"/>
  <c r="M14" i="9" s="1"/>
  <c r="N13" i="9"/>
  <c r="L13" i="9"/>
  <c r="M13" i="9" s="1"/>
  <c r="D12" i="9"/>
  <c r="G28" i="9" s="1"/>
  <c r="M10" i="9"/>
  <c r="B10" i="9"/>
  <c r="B9" i="9"/>
  <c r="B8" i="9"/>
  <c r="B7" i="9"/>
  <c r="B6" i="9"/>
  <c r="B96" i="8"/>
  <c r="C82" i="8"/>
  <c r="B97" i="8" s="1"/>
  <c r="C78" i="8"/>
  <c r="C77" i="8"/>
  <c r="L76" i="8"/>
  <c r="C76" i="8"/>
  <c r="C75" i="8"/>
  <c r="C74" i="8"/>
  <c r="C73" i="8"/>
  <c r="C72" i="8"/>
  <c r="C71" i="8"/>
  <c r="C69" i="8"/>
  <c r="M51" i="8"/>
  <c r="L46" i="8" s="1"/>
  <c r="L47" i="8"/>
  <c r="L44" i="8"/>
  <c r="M41" i="8"/>
  <c r="L41" i="8"/>
  <c r="D38" i="8"/>
  <c r="Q35" i="8"/>
  <c r="Q36" i="8" s="1"/>
  <c r="M49" i="8" s="1"/>
  <c r="L43" i="8" s="1"/>
  <c r="F34" i="8"/>
  <c r="G33" i="8"/>
  <c r="E33" i="8"/>
  <c r="H32" i="8"/>
  <c r="E32" i="8"/>
  <c r="H31" i="8"/>
  <c r="F31" i="8"/>
  <c r="B31" i="8"/>
  <c r="L30" i="8"/>
  <c r="H30" i="8"/>
  <c r="F30" i="8"/>
  <c r="L29" i="8"/>
  <c r="M29" i="8" s="1"/>
  <c r="H29" i="8"/>
  <c r="F29" i="8"/>
  <c r="L28" i="8"/>
  <c r="H28" i="8"/>
  <c r="F28" i="8"/>
  <c r="L26" i="8"/>
  <c r="M26" i="8" s="1"/>
  <c r="D26" i="8"/>
  <c r="D25" i="8"/>
  <c r="L24" i="8"/>
  <c r="M24" i="8" s="1"/>
  <c r="D24" i="8"/>
  <c r="L22" i="8"/>
  <c r="M22" i="8" s="1"/>
  <c r="L21" i="8"/>
  <c r="M21" i="8" s="1"/>
  <c r="D21" i="8"/>
  <c r="L25" i="8" s="1"/>
  <c r="M25" i="8" s="1"/>
  <c r="L20" i="8"/>
  <c r="M20" i="8" s="1"/>
  <c r="L19" i="8"/>
  <c r="M19" i="8" s="1"/>
  <c r="J19" i="8"/>
  <c r="L18" i="8"/>
  <c r="M18" i="8" s="1"/>
  <c r="J18" i="8"/>
  <c r="L17" i="8"/>
  <c r="M17" i="8" s="1"/>
  <c r="J17" i="8"/>
  <c r="L16" i="8"/>
  <c r="M16" i="8" s="1"/>
  <c r="J16" i="8"/>
  <c r="L15" i="8"/>
  <c r="M15" i="8" s="1"/>
  <c r="J15" i="8"/>
  <c r="L14" i="8"/>
  <c r="M14" i="8" s="1"/>
  <c r="L13" i="8"/>
  <c r="M13" i="8" s="1"/>
  <c r="L12" i="8"/>
  <c r="M12" i="8" s="1"/>
  <c r="D12" i="8"/>
  <c r="G28" i="8" s="1"/>
  <c r="L11" i="8"/>
  <c r="M11" i="8" s="1"/>
  <c r="B10" i="8"/>
  <c r="B9" i="8"/>
  <c r="B8" i="8"/>
  <c r="B7" i="8"/>
  <c r="B6" i="8"/>
  <c r="F31" i="7"/>
  <c r="F30" i="7"/>
  <c r="F29" i="7"/>
  <c r="F28" i="7"/>
  <c r="H32" i="7"/>
  <c r="H31" i="7"/>
  <c r="H30" i="7"/>
  <c r="H29" i="7"/>
  <c r="H28" i="7"/>
  <c r="L45" i="8" l="1"/>
  <c r="L42" i="8"/>
  <c r="L12" i="7"/>
  <c r="D30" i="16"/>
  <c r="D31" i="18"/>
  <c r="D30" i="17"/>
  <c r="D30" i="14"/>
  <c r="D30" i="15"/>
  <c r="D30" i="13"/>
  <c r="D31" i="12"/>
  <c r="W8" i="13"/>
  <c r="W8" i="18"/>
  <c r="W8" i="14"/>
  <c r="W8" i="15"/>
  <c r="W8" i="12"/>
  <c r="W8" i="17"/>
  <c r="W8" i="16"/>
  <c r="V8" i="12"/>
  <c r="V8" i="17"/>
  <c r="V8" i="18"/>
  <c r="V8" i="14"/>
  <c r="V8" i="13"/>
  <c r="V8" i="16"/>
  <c r="V8" i="15"/>
  <c r="D35" i="17"/>
  <c r="D35" i="14"/>
  <c r="D35" i="16"/>
  <c r="D36" i="12"/>
  <c r="D35" i="13"/>
  <c r="D35" i="15"/>
  <c r="D36" i="18"/>
  <c r="B92" i="8"/>
  <c r="D34" i="16"/>
  <c r="D34" i="14"/>
  <c r="D35" i="18"/>
  <c r="D34" i="17"/>
  <c r="D35" i="12"/>
  <c r="D34" i="13"/>
  <c r="D34" i="15"/>
  <c r="V7" i="14"/>
  <c r="V7" i="13"/>
  <c r="V7" i="12"/>
  <c r="V7" i="15"/>
  <c r="V7" i="17"/>
  <c r="V7" i="18"/>
  <c r="V7" i="16"/>
  <c r="D28" i="14"/>
  <c r="D28" i="15"/>
  <c r="D29" i="12"/>
  <c r="D28" i="13"/>
  <c r="D28" i="17"/>
  <c r="D28" i="16"/>
  <c r="D29" i="18"/>
  <c r="B93" i="8"/>
  <c r="L44" i="9"/>
  <c r="D33" i="16"/>
  <c r="D34" i="18"/>
  <c r="D34" i="12"/>
  <c r="D33" i="17"/>
  <c r="D33" i="13"/>
  <c r="D33" i="15"/>
  <c r="D33" i="14"/>
  <c r="W4" i="13"/>
  <c r="W4" i="18"/>
  <c r="W4" i="17"/>
  <c r="W4" i="14"/>
  <c r="W4" i="12"/>
  <c r="W4" i="15"/>
  <c r="W4" i="16"/>
  <c r="D30" i="12"/>
  <c r="D29" i="15"/>
  <c r="D29" i="16"/>
  <c r="D30" i="18"/>
  <c r="D29" i="13"/>
  <c r="D29" i="17"/>
  <c r="D29" i="14"/>
  <c r="W9" i="18"/>
  <c r="W9" i="12"/>
  <c r="W9" i="14"/>
  <c r="W9" i="16"/>
  <c r="W9" i="13"/>
  <c r="W9" i="15"/>
  <c r="W9" i="17"/>
  <c r="V9" i="16"/>
  <c r="V9" i="18"/>
  <c r="V9" i="17"/>
  <c r="V9" i="15"/>
  <c r="V9" i="12"/>
  <c r="V9" i="13"/>
  <c r="V9" i="14"/>
  <c r="B93" i="9"/>
  <c r="D27" i="17"/>
  <c r="D28" i="18"/>
  <c r="D27" i="13"/>
  <c r="D27" i="15"/>
  <c r="D27" i="16"/>
  <c r="D28" i="12"/>
  <c r="D27" i="14"/>
  <c r="D37" i="12"/>
  <c r="D36" i="15"/>
  <c r="D36" i="14"/>
  <c r="D36" i="17"/>
  <c r="D36" i="13"/>
  <c r="D36" i="16"/>
  <c r="D37" i="18"/>
  <c r="W7" i="13"/>
  <c r="W7" i="17"/>
  <c r="W7" i="18"/>
  <c r="W7" i="16"/>
  <c r="W7" i="12"/>
  <c r="W7" i="14"/>
  <c r="W7" i="15"/>
  <c r="B94" i="8"/>
  <c r="G33" i="10"/>
  <c r="D32" i="15"/>
  <c r="D32" i="14"/>
  <c r="D32" i="16"/>
  <c r="D33" i="12"/>
  <c r="D33" i="18"/>
  <c r="D32" i="17"/>
  <c r="D32" i="13"/>
  <c r="L8" i="16"/>
  <c r="M8" i="16" s="1"/>
  <c r="L8" i="13"/>
  <c r="M8" i="13" s="1"/>
  <c r="L8" i="18"/>
  <c r="M8" i="18" s="1"/>
  <c r="L8" i="15"/>
  <c r="M8" i="15" s="1"/>
  <c r="D32" i="18"/>
  <c r="D31" i="17"/>
  <c r="D31" i="13"/>
  <c r="D31" i="15"/>
  <c r="D31" i="16"/>
  <c r="D31" i="14"/>
  <c r="D32" i="12"/>
  <c r="L8" i="17"/>
  <c r="M8" i="17" s="1"/>
  <c r="L8" i="14"/>
  <c r="M8" i="14" s="1"/>
  <c r="L8" i="12"/>
  <c r="M8" i="12" s="1"/>
  <c r="L42" i="10"/>
  <c r="L45" i="10"/>
  <c r="L12" i="9"/>
  <c r="M12" i="9" s="1"/>
  <c r="L24" i="9"/>
  <c r="M24" i="9" s="1"/>
  <c r="L15" i="9"/>
  <c r="M15" i="9" s="1"/>
  <c r="G32" i="9"/>
  <c r="L44" i="11"/>
  <c r="L41" i="11"/>
  <c r="L15" i="11"/>
  <c r="M15" i="11" s="1"/>
  <c r="B91" i="11"/>
  <c r="E27" i="11"/>
  <c r="G28" i="11"/>
  <c r="B92" i="11"/>
  <c r="G32" i="11"/>
  <c r="B93" i="11"/>
  <c r="E28" i="11"/>
  <c r="G27" i="11"/>
  <c r="G31" i="11"/>
  <c r="B94" i="11"/>
  <c r="G29" i="11"/>
  <c r="E30" i="11"/>
  <c r="B95" i="11"/>
  <c r="E29" i="11"/>
  <c r="G33" i="11"/>
  <c r="G32" i="10"/>
  <c r="B95" i="10"/>
  <c r="M28" i="10"/>
  <c r="E31" i="10"/>
  <c r="B96" i="10"/>
  <c r="B97" i="10"/>
  <c r="E30" i="10"/>
  <c r="G34" i="10"/>
  <c r="E29" i="10"/>
  <c r="G31" i="10"/>
  <c r="E28" i="10"/>
  <c r="G30" i="10"/>
  <c r="G29" i="10"/>
  <c r="B92" i="10"/>
  <c r="L47" i="9"/>
  <c r="G27" i="9"/>
  <c r="G31" i="9"/>
  <c r="B94" i="9"/>
  <c r="E30" i="9"/>
  <c r="B95" i="9"/>
  <c r="B96" i="9"/>
  <c r="E29" i="9"/>
  <c r="G33" i="9"/>
  <c r="G30" i="9"/>
  <c r="E28" i="9"/>
  <c r="G29" i="9"/>
  <c r="B91" i="9"/>
  <c r="E27" i="9"/>
  <c r="C91" i="8"/>
  <c r="G32" i="8"/>
  <c r="B95" i="8"/>
  <c r="M28" i="8"/>
  <c r="E31" i="8"/>
  <c r="G34" i="8"/>
  <c r="E30" i="8"/>
  <c r="E29" i="8"/>
  <c r="G31" i="8"/>
  <c r="E28" i="8"/>
  <c r="G30" i="8"/>
  <c r="G29" i="8"/>
  <c r="L8" i="11"/>
  <c r="M8" i="11" s="1"/>
  <c r="L20" i="7"/>
  <c r="M20" i="7" s="1"/>
  <c r="L13" i="2"/>
  <c r="L12" i="2"/>
  <c r="M12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4" i="2"/>
  <c r="M24" i="2" s="1"/>
  <c r="L25" i="2"/>
  <c r="M25" i="2" s="1"/>
  <c r="L11" i="2"/>
  <c r="L26" i="7"/>
  <c r="M26" i="7" s="1"/>
  <c r="L21" i="7"/>
  <c r="M21" i="7" s="1"/>
  <c r="L19" i="7"/>
  <c r="M19" i="7" s="1"/>
  <c r="L18" i="7"/>
  <c r="M18" i="7" s="1"/>
  <c r="L17" i="7"/>
  <c r="M17" i="7" s="1"/>
  <c r="L16" i="7"/>
  <c r="M16" i="7" s="1"/>
  <c r="L15" i="7"/>
  <c r="M15" i="7" s="1"/>
  <c r="L14" i="7"/>
  <c r="M14" i="7" s="1"/>
  <c r="M29" i="7"/>
  <c r="M28" i="7"/>
  <c r="B10" i="7"/>
  <c r="D21" i="7"/>
  <c r="E32" i="7"/>
  <c r="E33" i="7"/>
  <c r="F34" i="7"/>
  <c r="D12" i="7"/>
  <c r="E30" i="7" s="1"/>
  <c r="D11" i="2"/>
  <c r="G33" i="2" s="1"/>
  <c r="D20" i="2"/>
  <c r="L26" i="2" s="1"/>
  <c r="C82" i="7"/>
  <c r="B92" i="7" s="1"/>
  <c r="C78" i="7"/>
  <c r="C77" i="7"/>
  <c r="L76" i="7"/>
  <c r="C76" i="7"/>
  <c r="C75" i="7"/>
  <c r="C74" i="7"/>
  <c r="C73" i="7"/>
  <c r="C72" i="7"/>
  <c r="C71" i="7"/>
  <c r="C69" i="7"/>
  <c r="M51" i="7"/>
  <c r="L46" i="7" s="1"/>
  <c r="L47" i="7"/>
  <c r="L44" i="7"/>
  <c r="M41" i="7"/>
  <c r="L40" i="7" s="1"/>
  <c r="L41" i="7"/>
  <c r="D38" i="7"/>
  <c r="Q35" i="7"/>
  <c r="Q36" i="7" s="1"/>
  <c r="M49" i="7" s="1"/>
  <c r="L43" i="7" s="1"/>
  <c r="B31" i="7"/>
  <c r="D26" i="7"/>
  <c r="D25" i="7"/>
  <c r="D24" i="7"/>
  <c r="J19" i="7"/>
  <c r="J18" i="7"/>
  <c r="J17" i="7"/>
  <c r="J16" i="7"/>
  <c r="J15" i="7"/>
  <c r="B9" i="7"/>
  <c r="B8" i="7"/>
  <c r="B7" i="7"/>
  <c r="B6" i="7"/>
  <c r="C76" i="2"/>
  <c r="C83" i="2"/>
  <c r="B93" i="2"/>
  <c r="B95" i="2"/>
  <c r="M40" i="2"/>
  <c r="L40" i="2" s="1"/>
  <c r="D37" i="2"/>
  <c r="C68" i="2"/>
  <c r="L31" i="2"/>
  <c r="L77" i="2"/>
  <c r="N12" i="2"/>
  <c r="M10" i="2" s="1"/>
  <c r="L30" i="2"/>
  <c r="M30" i="2" s="1"/>
  <c r="L29" i="2"/>
  <c r="M29" i="2" s="1"/>
  <c r="L44" i="2"/>
  <c r="C79" i="2"/>
  <c r="C78" i="2"/>
  <c r="C77" i="2"/>
  <c r="M50" i="2"/>
  <c r="L46" i="2" s="1"/>
  <c r="C75" i="2"/>
  <c r="C74" i="2"/>
  <c r="C73" i="2"/>
  <c r="C72" i="2"/>
  <c r="L47" i="2"/>
  <c r="Q34" i="2"/>
  <c r="M48" i="2" s="1"/>
  <c r="L43" i="2" s="1"/>
  <c r="L41" i="2"/>
  <c r="B30" i="2"/>
  <c r="H28" i="2"/>
  <c r="H29" i="2"/>
  <c r="H30" i="2"/>
  <c r="H31" i="2"/>
  <c r="H26" i="2"/>
  <c r="F33" i="2"/>
  <c r="F28" i="2"/>
  <c r="F29" i="2"/>
  <c r="F30" i="2"/>
  <c r="F31" i="2"/>
  <c r="F26" i="2"/>
  <c r="D24" i="2"/>
  <c r="D23" i="2"/>
  <c r="D22" i="2"/>
  <c r="L12" i="11"/>
  <c r="M12" i="11" s="1"/>
  <c r="L11" i="11"/>
  <c r="M11" i="11" s="1"/>
  <c r="M23" i="2"/>
  <c r="D23" i="11"/>
  <c r="D28" i="7"/>
  <c r="D28" i="2"/>
  <c r="D29" i="2"/>
  <c r="J16" i="2"/>
  <c r="J17" i="2"/>
  <c r="J18" i="2"/>
  <c r="J19" i="2"/>
  <c r="J15" i="2"/>
  <c r="B7" i="2"/>
  <c r="B8" i="2"/>
  <c r="B9" i="2"/>
  <c r="B10" i="2"/>
  <c r="B6" i="2"/>
  <c r="W9" i="7"/>
  <c r="W8" i="2"/>
  <c r="V9" i="7"/>
  <c r="L7" i="2"/>
  <c r="M7" i="2" s="1"/>
  <c r="V8" i="2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33" i="11"/>
  <c r="D134" i="11"/>
  <c r="D135" i="11"/>
  <c r="D136" i="11"/>
  <c r="D31" i="7"/>
  <c r="D31" i="2"/>
  <c r="D32" i="2"/>
  <c r="D34" i="7"/>
  <c r="D34" i="2"/>
  <c r="D37" i="7"/>
  <c r="W4" i="7"/>
  <c r="L8" i="9"/>
  <c r="M8" i="9" s="1"/>
  <c r="L48" i="8" l="1"/>
  <c r="L22" i="7"/>
  <c r="M22" i="7" s="1"/>
  <c r="B94" i="7"/>
  <c r="L45" i="2"/>
  <c r="L48" i="10"/>
  <c r="L42" i="7"/>
  <c r="B93" i="7"/>
  <c r="B95" i="7"/>
  <c r="B96" i="7"/>
  <c r="B97" i="7"/>
  <c r="L11" i="9"/>
  <c r="M11" i="9" s="1"/>
  <c r="D36" i="2"/>
  <c r="L47" i="11"/>
  <c r="D29" i="7"/>
  <c r="D30" i="7"/>
  <c r="V8" i="7"/>
  <c r="L6" i="10"/>
  <c r="V7" i="11"/>
  <c r="V7" i="8"/>
  <c r="V7" i="10"/>
  <c r="V7" i="9"/>
  <c r="W9" i="2"/>
  <c r="D32" i="7"/>
  <c r="D30" i="11"/>
  <c r="D31" i="10"/>
  <c r="D31" i="8"/>
  <c r="D30" i="9"/>
  <c r="D37" i="10"/>
  <c r="D36" i="11"/>
  <c r="D37" i="8"/>
  <c r="D36" i="9"/>
  <c r="D30" i="2"/>
  <c r="V7" i="2"/>
  <c r="D33" i="7"/>
  <c r="D29" i="9"/>
  <c r="D29" i="11"/>
  <c r="D30" i="10"/>
  <c r="D30" i="8"/>
  <c r="V7" i="7"/>
  <c r="W7" i="11"/>
  <c r="W7" i="10"/>
  <c r="W7" i="8"/>
  <c r="W7" i="9"/>
  <c r="L8" i="8"/>
  <c r="M8" i="8" s="1"/>
  <c r="L8" i="10"/>
  <c r="M8" i="10" s="1"/>
  <c r="D36" i="8"/>
  <c r="D35" i="11"/>
  <c r="D36" i="10"/>
  <c r="D35" i="9"/>
  <c r="M6" i="8"/>
  <c r="M6" i="10"/>
  <c r="L7" i="15"/>
  <c r="M7" i="15" s="1"/>
  <c r="D34" i="11"/>
  <c r="D35" i="10"/>
  <c r="D34" i="9"/>
  <c r="D35" i="8"/>
  <c r="V9" i="9"/>
  <c r="V9" i="8"/>
  <c r="V9" i="11"/>
  <c r="V9" i="10"/>
  <c r="D28" i="11"/>
  <c r="D29" i="10"/>
  <c r="D29" i="8"/>
  <c r="D28" i="9"/>
  <c r="V9" i="2"/>
  <c r="W7" i="7"/>
  <c r="D35" i="7"/>
  <c r="L8" i="2"/>
  <c r="M8" i="2" s="1"/>
  <c r="D34" i="8"/>
  <c r="D33" i="9"/>
  <c r="D33" i="11"/>
  <c r="D34" i="10"/>
  <c r="W8" i="9"/>
  <c r="W8" i="8"/>
  <c r="W8" i="11"/>
  <c r="W8" i="10"/>
  <c r="D27" i="9"/>
  <c r="D27" i="11"/>
  <c r="D28" i="10"/>
  <c r="D28" i="8"/>
  <c r="D33" i="2"/>
  <c r="W4" i="2"/>
  <c r="L8" i="7"/>
  <c r="M8" i="7" s="1"/>
  <c r="D36" i="7"/>
  <c r="D32" i="11"/>
  <c r="D33" i="10"/>
  <c r="D33" i="8"/>
  <c r="D32" i="9"/>
  <c r="W9" i="9"/>
  <c r="W9" i="11"/>
  <c r="W9" i="10"/>
  <c r="W9" i="8"/>
  <c r="W4" i="8"/>
  <c r="W4" i="9"/>
  <c r="W4" i="11"/>
  <c r="W4" i="10"/>
  <c r="D32" i="8"/>
  <c r="D31" i="11"/>
  <c r="D32" i="10"/>
  <c r="D31" i="9"/>
  <c r="V8" i="9"/>
  <c r="V8" i="11"/>
  <c r="V8" i="10"/>
  <c r="V8" i="8"/>
  <c r="D26" i="2"/>
  <c r="D35" i="2"/>
  <c r="M6" i="2"/>
  <c r="W7" i="2"/>
  <c r="W8" i="7"/>
  <c r="C90" i="11"/>
  <c r="C91" i="10"/>
  <c r="C90" i="9"/>
  <c r="L50" i="8"/>
  <c r="L55" i="8" s="1"/>
  <c r="L13" i="7"/>
  <c r="M13" i="7" s="1"/>
  <c r="E28" i="7"/>
  <c r="M12" i="7"/>
  <c r="E31" i="7"/>
  <c r="G29" i="7"/>
  <c r="G28" i="7"/>
  <c r="G30" i="7"/>
  <c r="G31" i="7"/>
  <c r="G32" i="7"/>
  <c r="G33" i="7"/>
  <c r="G34" i="7"/>
  <c r="E29" i="7"/>
  <c r="E32" i="2"/>
  <c r="G26" i="2"/>
  <c r="G28" i="2"/>
  <c r="G29" i="2"/>
  <c r="E26" i="2"/>
  <c r="E28" i="2"/>
  <c r="M11" i="2" s="1"/>
  <c r="G30" i="2"/>
  <c r="G31" i="2"/>
  <c r="E30" i="2"/>
  <c r="E29" i="2"/>
  <c r="G32" i="2"/>
  <c r="E31" i="2"/>
  <c r="L45" i="7"/>
  <c r="L48" i="7" s="1"/>
  <c r="B96" i="2"/>
  <c r="B97" i="2"/>
  <c r="B98" i="2"/>
  <c r="B94" i="2"/>
  <c r="M13" i="2"/>
  <c r="L42" i="2"/>
  <c r="Q35" i="2"/>
  <c r="L24" i="7" l="1"/>
  <c r="M24" i="7" s="1"/>
  <c r="L25" i="7"/>
  <c r="M25" i="7" s="1"/>
  <c r="L11" i="7"/>
  <c r="M11" i="7" s="1"/>
  <c r="V6" i="16"/>
  <c r="V6" i="15"/>
  <c r="W6" i="14"/>
  <c r="W12" i="14" s="1"/>
  <c r="M9" i="14" s="1"/>
  <c r="W6" i="12"/>
  <c r="W12" i="12" s="1"/>
  <c r="M9" i="12" s="1"/>
  <c r="W6" i="16"/>
  <c r="W12" i="16" s="1"/>
  <c r="M9" i="16" s="1"/>
  <c r="V6" i="14"/>
  <c r="V6" i="17"/>
  <c r="V6" i="18"/>
  <c r="W6" i="18"/>
  <c r="W12" i="18" s="1"/>
  <c r="M9" i="18" s="1"/>
  <c r="V6" i="12"/>
  <c r="W6" i="13"/>
  <c r="W12" i="13" s="1"/>
  <c r="M9" i="13" s="1"/>
  <c r="L7" i="18"/>
  <c r="M7" i="18" s="1"/>
  <c r="V6" i="13"/>
  <c r="W6" i="15"/>
  <c r="W12" i="15" s="1"/>
  <c r="M9" i="15" s="1"/>
  <c r="W6" i="17"/>
  <c r="W12" i="17" s="1"/>
  <c r="M9" i="17" s="1"/>
  <c r="L7" i="13"/>
  <c r="M7" i="13" s="1"/>
  <c r="L7" i="16"/>
  <c r="M7" i="16" s="1"/>
  <c r="V4" i="12"/>
  <c r="V4" i="16"/>
  <c r="V4" i="13"/>
  <c r="V4" i="15"/>
  <c r="V4" i="18"/>
  <c r="V4" i="17"/>
  <c r="V4" i="14"/>
  <c r="M6" i="12"/>
  <c r="M6" i="18"/>
  <c r="M6" i="17"/>
  <c r="M6" i="14"/>
  <c r="M6" i="15"/>
  <c r="M6" i="16"/>
  <c r="M6" i="13"/>
  <c r="L7" i="12"/>
  <c r="M7" i="12" s="1"/>
  <c r="L7" i="14"/>
  <c r="M7" i="14" s="1"/>
  <c r="L7" i="17"/>
  <c r="M7" i="17" s="1"/>
  <c r="C91" i="7"/>
  <c r="W6" i="9"/>
  <c r="W12" i="9" s="1"/>
  <c r="M9" i="9" s="1"/>
  <c r="W6" i="11"/>
  <c r="W12" i="11" s="1"/>
  <c r="M9" i="11" s="1"/>
  <c r="W6" i="10"/>
  <c r="W12" i="10" s="1"/>
  <c r="M9" i="10" s="1"/>
  <c r="W6" i="8"/>
  <c r="W12" i="8" s="1"/>
  <c r="M9" i="8" s="1"/>
  <c r="W6" i="2"/>
  <c r="W11" i="2" s="1"/>
  <c r="M9" i="2" s="1"/>
  <c r="W6" i="7"/>
  <c r="W12" i="7" s="1"/>
  <c r="M9" i="7" s="1"/>
  <c r="L7" i="11"/>
  <c r="M7" i="11" s="1"/>
  <c r="L7" i="9"/>
  <c r="M7" i="9" s="1"/>
  <c r="L7" i="10"/>
  <c r="M7" i="10" s="1"/>
  <c r="L7" i="8"/>
  <c r="M7" i="8" s="1"/>
  <c r="L7" i="7"/>
  <c r="M7" i="7" s="1"/>
  <c r="L6" i="8"/>
  <c r="V4" i="11"/>
  <c r="V4" i="8"/>
  <c r="V4" i="10"/>
  <c r="V4" i="9"/>
  <c r="V4" i="7"/>
  <c r="V4" i="2"/>
  <c r="M6" i="9"/>
  <c r="M6" i="11"/>
  <c r="M6" i="7"/>
  <c r="V6" i="10"/>
  <c r="V6" i="8"/>
  <c r="V6" i="9"/>
  <c r="V6" i="11"/>
  <c r="V6" i="7"/>
  <c r="V6" i="2"/>
  <c r="N13" i="10"/>
  <c r="M10" i="10" s="1"/>
  <c r="M10" i="7"/>
  <c r="M26" i="2"/>
  <c r="C92" i="2"/>
  <c r="L48" i="2"/>
  <c r="V12" i="16" l="1"/>
  <c r="V12" i="15"/>
  <c r="L9" i="15" s="1"/>
  <c r="V12" i="17"/>
  <c r="V12" i="18"/>
  <c r="L9" i="18" s="1"/>
  <c r="M4" i="13"/>
  <c r="M4" i="16"/>
  <c r="V12" i="12"/>
  <c r="V12" i="13"/>
  <c r="L9" i="13" s="1"/>
  <c r="M4" i="18"/>
  <c r="M4" i="15"/>
  <c r="V12" i="14"/>
  <c r="N13" i="8"/>
  <c r="M10" i="8" s="1"/>
  <c r="M4" i="8" s="1"/>
  <c r="M4" i="12"/>
  <c r="M4" i="17"/>
  <c r="M4" i="14"/>
  <c r="M4" i="2"/>
  <c r="V11" i="2"/>
  <c r="L4" i="2" s="1"/>
  <c r="V12" i="8"/>
  <c r="L9" i="8" s="1"/>
  <c r="V12" i="7"/>
  <c r="L9" i="7" s="1"/>
  <c r="M4" i="10"/>
  <c r="V12" i="11"/>
  <c r="L9" i="11" s="1"/>
  <c r="M4" i="9"/>
  <c r="V12" i="9"/>
  <c r="L9" i="9" s="1"/>
  <c r="V12" i="10"/>
  <c r="L9" i="10" s="1"/>
  <c r="L4" i="10" s="1"/>
  <c r="M4" i="7"/>
  <c r="L32" i="2" l="1"/>
  <c r="L39" i="2" s="1"/>
  <c r="L4" i="8"/>
  <c r="L31" i="8" s="1"/>
  <c r="L39" i="8" s="1"/>
  <c r="L36" i="2"/>
  <c r="L36" i="10"/>
  <c r="L31" i="10"/>
  <c r="L39" i="10" s="1"/>
  <c r="B121" i="10" l="1"/>
  <c r="L38" i="10"/>
  <c r="L49" i="10" s="1"/>
  <c r="L50" i="10" s="1"/>
  <c r="L55" i="10" s="1"/>
  <c r="B128" i="2"/>
  <c r="L38" i="2"/>
  <c r="L36" i="8"/>
  <c r="B123" i="2"/>
  <c r="B122" i="2"/>
  <c r="B121" i="2"/>
  <c r="L37" i="2"/>
  <c r="B124" i="2"/>
  <c r="B125" i="2"/>
  <c r="B126" i="2"/>
  <c r="B127" i="2"/>
  <c r="B127" i="10"/>
  <c r="B123" i="10"/>
  <c r="B125" i="10"/>
  <c r="B120" i="10"/>
  <c r="L37" i="10"/>
  <c r="B126" i="10"/>
  <c r="B122" i="10"/>
  <c r="B124" i="10"/>
  <c r="B122" i="8" l="1"/>
  <c r="L38" i="8"/>
  <c r="B127" i="8"/>
  <c r="B126" i="8"/>
  <c r="B125" i="8"/>
  <c r="L49" i="8"/>
  <c r="B109" i="8" s="1"/>
  <c r="B124" i="8"/>
  <c r="B123" i="8"/>
  <c r="B120" i="8"/>
  <c r="B121" i="8"/>
  <c r="L37" i="8"/>
  <c r="C130" i="2"/>
  <c r="C129" i="2"/>
  <c r="L49" i="2"/>
  <c r="C81" i="10"/>
  <c r="B85" i="10" s="1"/>
  <c r="L51" i="10"/>
  <c r="L56" i="10" s="1"/>
  <c r="C129" i="10"/>
  <c r="B109" i="10"/>
  <c r="L52" i="10"/>
  <c r="L57" i="10" s="1"/>
  <c r="C99" i="10"/>
  <c r="B105" i="10" s="1"/>
  <c r="L53" i="10"/>
  <c r="L58" i="10" s="1"/>
  <c r="B111" i="10"/>
  <c r="B110" i="10"/>
  <c r="B112" i="10"/>
  <c r="C128" i="10"/>
  <c r="B114" i="10"/>
  <c r="B113" i="10"/>
  <c r="L54" i="10"/>
  <c r="L59" i="10" s="1"/>
  <c r="B113" i="8" l="1"/>
  <c r="C128" i="8"/>
  <c r="B114" i="8"/>
  <c r="C99" i="8"/>
  <c r="B105" i="8" s="1"/>
  <c r="L54" i="8"/>
  <c r="L59" i="8" s="1"/>
  <c r="C81" i="8"/>
  <c r="B87" i="8" s="1"/>
  <c r="B112" i="8"/>
  <c r="L51" i="8"/>
  <c r="L56" i="8" s="1"/>
  <c r="B111" i="8"/>
  <c r="L52" i="8"/>
  <c r="L57" i="8" s="1"/>
  <c r="B110" i="8"/>
  <c r="L53" i="8"/>
  <c r="L58" i="8" s="1"/>
  <c r="C129" i="8"/>
  <c r="L54" i="2"/>
  <c r="L59" i="2" s="1"/>
  <c r="L51" i="2"/>
  <c r="L56" i="2" s="1"/>
  <c r="L50" i="2"/>
  <c r="L55" i="2" s="1"/>
  <c r="B113" i="2"/>
  <c r="L53" i="2"/>
  <c r="L58" i="2" s="1"/>
  <c r="C82" i="2"/>
  <c r="B87" i="2" s="1"/>
  <c r="L52" i="2"/>
  <c r="L57" i="2" s="1"/>
  <c r="B115" i="2"/>
  <c r="B110" i="2"/>
  <c r="B114" i="2"/>
  <c r="B111" i="2"/>
  <c r="C100" i="2"/>
  <c r="B105" i="2" s="1"/>
  <c r="B112" i="2"/>
  <c r="B89" i="10"/>
  <c r="B86" i="10"/>
  <c r="B87" i="10"/>
  <c r="B86" i="8"/>
  <c r="B90" i="10"/>
  <c r="B88" i="10"/>
  <c r="L60" i="10"/>
  <c r="B106" i="10"/>
  <c r="B102" i="10"/>
  <c r="B104" i="10"/>
  <c r="B101" i="10"/>
  <c r="C108" i="10"/>
  <c r="C98" i="10" s="1"/>
  <c r="B103" i="10"/>
  <c r="B102" i="8" l="1"/>
  <c r="B104" i="8"/>
  <c r="B103" i="8"/>
  <c r="B101" i="8"/>
  <c r="C108" i="8"/>
  <c r="C98" i="8" s="1"/>
  <c r="L60" i="8"/>
  <c r="B106" i="8"/>
  <c r="B85" i="8"/>
  <c r="B89" i="8"/>
  <c r="B90" i="8"/>
  <c r="B88" i="8"/>
  <c r="B90" i="2"/>
  <c r="L60" i="2"/>
  <c r="B89" i="2"/>
  <c r="C109" i="2"/>
  <c r="C83" i="10"/>
  <c r="B103" i="2"/>
  <c r="B107" i="2"/>
  <c r="B88" i="2"/>
  <c r="B104" i="2"/>
  <c r="B91" i="2"/>
  <c r="B86" i="2"/>
  <c r="B102" i="2"/>
  <c r="B106" i="2"/>
  <c r="C100" i="10"/>
  <c r="C107" i="10" s="1"/>
  <c r="C130" i="10" s="1"/>
  <c r="L61" i="10" s="1"/>
  <c r="M62" i="10" s="1"/>
  <c r="L62" i="10" s="1"/>
  <c r="K32" i="10" s="1"/>
  <c r="M32" i="10" s="1"/>
  <c r="M3" i="10" s="1"/>
  <c r="C100" i="8" l="1"/>
  <c r="C107" i="8" s="1"/>
  <c r="C130" i="8" s="1"/>
  <c r="L61" i="8" s="1"/>
  <c r="M62" i="8" s="1"/>
  <c r="L62" i="8" s="1"/>
  <c r="K32" i="8" s="1"/>
  <c r="L32" i="8" s="1"/>
  <c r="L3" i="8" s="1"/>
  <c r="C83" i="8"/>
  <c r="C101" i="2"/>
  <c r="C84" i="2"/>
  <c r="C99" i="2" s="1"/>
  <c r="L32" i="10"/>
  <c r="L3" i="10" s="1"/>
  <c r="M32" i="8" l="1"/>
  <c r="M3" i="8" s="1"/>
  <c r="C108" i="2"/>
  <c r="C131" i="2" s="1"/>
  <c r="L61" i="2" s="1"/>
  <c r="M62" i="2" s="1"/>
  <c r="L62" i="2" s="1"/>
  <c r="K33" i="2" s="1"/>
  <c r="M33" i="2" l="1"/>
  <c r="M3" i="2" s="1"/>
  <c r="L33" i="2"/>
  <c r="L3" i="2" s="1"/>
  <c r="M4" i="11"/>
  <c r="M28" i="14" l="1"/>
  <c r="L4" i="11" l="1"/>
  <c r="L6" i="12" l="1"/>
  <c r="L4" i="12" s="1"/>
  <c r="L36" i="12" s="1"/>
  <c r="L30" i="11"/>
  <c r="L38" i="11" s="1"/>
  <c r="L6" i="17"/>
  <c r="L4" i="17" s="1"/>
  <c r="L6" i="13"/>
  <c r="L4" i="13" s="1"/>
  <c r="L6" i="18"/>
  <c r="L4" i="18" s="1"/>
  <c r="L6" i="7"/>
  <c r="L4" i="7" s="1"/>
  <c r="L6" i="14"/>
  <c r="L4" i="14" s="1"/>
  <c r="L30" i="14" s="1"/>
  <c r="L38" i="14" s="1"/>
  <c r="L6" i="15"/>
  <c r="L4" i="15" s="1"/>
  <c r="L6" i="9"/>
  <c r="L4" i="9" s="1"/>
  <c r="L6" i="16"/>
  <c r="L4" i="16" s="1"/>
  <c r="L35" i="11"/>
  <c r="L30" i="7" l="1"/>
  <c r="L31" i="7"/>
  <c r="L37" i="11"/>
  <c r="L48" i="11" s="1"/>
  <c r="N61" i="12"/>
  <c r="L31" i="12"/>
  <c r="L39" i="12" s="1"/>
  <c r="L38" i="12" s="1"/>
  <c r="L49" i="12" s="1"/>
  <c r="B120" i="11"/>
  <c r="L36" i="11"/>
  <c r="B125" i="11"/>
  <c r="B126" i="11"/>
  <c r="B122" i="11"/>
  <c r="B121" i="11"/>
  <c r="B123" i="11"/>
  <c r="B119" i="11"/>
  <c r="B124" i="11"/>
  <c r="L30" i="9"/>
  <c r="L38" i="9" s="1"/>
  <c r="L35" i="9"/>
  <c r="L30" i="17"/>
  <c r="L38" i="17" s="1"/>
  <c r="L35" i="17"/>
  <c r="L30" i="15"/>
  <c r="L38" i="15" s="1"/>
  <c r="L35" i="15"/>
  <c r="B127" i="12"/>
  <c r="L37" i="12"/>
  <c r="B124" i="12"/>
  <c r="B126" i="12"/>
  <c r="B122" i="12"/>
  <c r="B121" i="12"/>
  <c r="B125" i="12"/>
  <c r="B123" i="12"/>
  <c r="B120" i="12"/>
  <c r="L30" i="13"/>
  <c r="L38" i="13" s="1"/>
  <c r="L35" i="13"/>
  <c r="L30" i="16"/>
  <c r="L38" i="16" s="1"/>
  <c r="L35" i="16"/>
  <c r="L35" i="14"/>
  <c r="L37" i="14" s="1"/>
  <c r="L36" i="7"/>
  <c r="L36" i="18"/>
  <c r="L31" i="18"/>
  <c r="L39" i="18" s="1"/>
  <c r="L37" i="9" l="1"/>
  <c r="L48" i="9" s="1"/>
  <c r="L39" i="7"/>
  <c r="L37" i="16"/>
  <c r="L37" i="17"/>
  <c r="L48" i="17" s="1"/>
  <c r="L37" i="15"/>
  <c r="L48" i="15" s="1"/>
  <c r="L38" i="18"/>
  <c r="L49" i="18" s="1"/>
  <c r="L37" i="13"/>
  <c r="L48" i="13" s="1"/>
  <c r="N64" i="12"/>
  <c r="N62" i="12"/>
  <c r="N63" i="12"/>
  <c r="N61" i="7"/>
  <c r="L38" i="7"/>
  <c r="L49" i="7" s="1"/>
  <c r="B111" i="12"/>
  <c r="C81" i="12"/>
  <c r="L51" i="12"/>
  <c r="L56" i="12" s="1"/>
  <c r="B114" i="12"/>
  <c r="L50" i="12"/>
  <c r="L55" i="12" s="1"/>
  <c r="B110" i="12"/>
  <c r="C99" i="12"/>
  <c r="L54" i="12"/>
  <c r="L59" i="12" s="1"/>
  <c r="B109" i="12"/>
  <c r="B112" i="12"/>
  <c r="L53" i="12"/>
  <c r="L58" i="12" s="1"/>
  <c r="B113" i="12"/>
  <c r="L52" i="12"/>
  <c r="L57" i="12" s="1"/>
  <c r="L53" i="11"/>
  <c r="L58" i="11" s="1"/>
  <c r="B108" i="11"/>
  <c r="C98" i="11"/>
  <c r="B110" i="11"/>
  <c r="L52" i="11"/>
  <c r="L57" i="11" s="1"/>
  <c r="B113" i="11"/>
  <c r="L49" i="11"/>
  <c r="L54" i="11" s="1"/>
  <c r="B109" i="11"/>
  <c r="B111" i="11"/>
  <c r="L50" i="11"/>
  <c r="L55" i="11" s="1"/>
  <c r="C80" i="11"/>
  <c r="B112" i="11"/>
  <c r="L51" i="11"/>
  <c r="L56" i="11" s="1"/>
  <c r="B126" i="14"/>
  <c r="L36" i="14"/>
  <c r="B122" i="14"/>
  <c r="B125" i="14"/>
  <c r="L48" i="14"/>
  <c r="B120" i="14"/>
  <c r="B123" i="14"/>
  <c r="B121" i="14"/>
  <c r="B124" i="14"/>
  <c r="B119" i="14"/>
  <c r="B123" i="13"/>
  <c r="B125" i="13"/>
  <c r="B126" i="13"/>
  <c r="B120" i="13"/>
  <c r="B119" i="13"/>
  <c r="B121" i="13"/>
  <c r="L36" i="13"/>
  <c r="B124" i="13"/>
  <c r="B122" i="13"/>
  <c r="C128" i="12"/>
  <c r="C129" i="12"/>
  <c r="C127" i="11"/>
  <c r="C128" i="11"/>
  <c r="B126" i="18"/>
  <c r="B127" i="18"/>
  <c r="B121" i="18"/>
  <c r="B123" i="18"/>
  <c r="B125" i="18"/>
  <c r="B122" i="18"/>
  <c r="L37" i="18"/>
  <c r="B124" i="18"/>
  <c r="B120" i="18"/>
  <c r="B126" i="17"/>
  <c r="B125" i="17"/>
  <c r="B120" i="17"/>
  <c r="L36" i="17"/>
  <c r="B119" i="17"/>
  <c r="B121" i="17"/>
  <c r="B122" i="17"/>
  <c r="B124" i="17"/>
  <c r="B123" i="17"/>
  <c r="B121" i="16"/>
  <c r="B124" i="16"/>
  <c r="L36" i="16"/>
  <c r="B122" i="16"/>
  <c r="B126" i="16"/>
  <c r="B120" i="16"/>
  <c r="L48" i="16"/>
  <c r="B123" i="16"/>
  <c r="B125" i="16"/>
  <c r="B119" i="16"/>
  <c r="B127" i="7"/>
  <c r="B125" i="7"/>
  <c r="B121" i="7"/>
  <c r="B124" i="7"/>
  <c r="B126" i="7"/>
  <c r="L37" i="7"/>
  <c r="B123" i="7"/>
  <c r="B120" i="7"/>
  <c r="B122" i="7"/>
  <c r="B124" i="15"/>
  <c r="B125" i="15"/>
  <c r="L36" i="15"/>
  <c r="B123" i="15"/>
  <c r="B120" i="15"/>
  <c r="B122" i="15"/>
  <c r="B126" i="15"/>
  <c r="B119" i="15"/>
  <c r="B121" i="15"/>
  <c r="B125" i="9"/>
  <c r="B126" i="9"/>
  <c r="B122" i="9"/>
  <c r="L36" i="9"/>
  <c r="B124" i="9"/>
  <c r="B121" i="9"/>
  <c r="B123" i="9"/>
  <c r="B119" i="9"/>
  <c r="B120" i="9"/>
  <c r="N64" i="7" l="1"/>
  <c r="N63" i="7"/>
  <c r="N62" i="7"/>
  <c r="C107" i="11"/>
  <c r="C97" i="11" s="1"/>
  <c r="B111" i="13"/>
  <c r="B109" i="13"/>
  <c r="L50" i="13"/>
  <c r="L55" i="13" s="1"/>
  <c r="B112" i="13"/>
  <c r="L53" i="13"/>
  <c r="L58" i="13" s="1"/>
  <c r="L49" i="13"/>
  <c r="L54" i="13" s="1"/>
  <c r="L51" i="13"/>
  <c r="L56" i="13" s="1"/>
  <c r="C98" i="13"/>
  <c r="L52" i="13"/>
  <c r="L57" i="13" s="1"/>
  <c r="B113" i="13"/>
  <c r="B108" i="13"/>
  <c r="C80" i="13"/>
  <c r="B110" i="13"/>
  <c r="B113" i="18"/>
  <c r="B111" i="18"/>
  <c r="B112" i="18"/>
  <c r="B109" i="18"/>
  <c r="L54" i="18"/>
  <c r="L59" i="18" s="1"/>
  <c r="L52" i="18"/>
  <c r="L57" i="18" s="1"/>
  <c r="L53" i="18"/>
  <c r="L58" i="18" s="1"/>
  <c r="B110" i="18"/>
  <c r="C99" i="18"/>
  <c r="L51" i="18"/>
  <c r="L56" i="18" s="1"/>
  <c r="L50" i="18"/>
  <c r="L55" i="18" s="1"/>
  <c r="B114" i="18"/>
  <c r="C81" i="18"/>
  <c r="B111" i="17"/>
  <c r="L53" i="17"/>
  <c r="L58" i="17" s="1"/>
  <c r="B109" i="17"/>
  <c r="L51" i="17"/>
  <c r="L56" i="17" s="1"/>
  <c r="L49" i="17"/>
  <c r="L54" i="17" s="1"/>
  <c r="L50" i="17"/>
  <c r="L55" i="17" s="1"/>
  <c r="C80" i="17"/>
  <c r="C98" i="17"/>
  <c r="L52" i="17"/>
  <c r="L57" i="17" s="1"/>
  <c r="B113" i="17"/>
  <c r="B110" i="17"/>
  <c r="B108" i="17"/>
  <c r="B112" i="17"/>
  <c r="C127" i="16"/>
  <c r="C128" i="16"/>
  <c r="C129" i="7"/>
  <c r="C128" i="7"/>
  <c r="C128" i="17"/>
  <c r="C127" i="17"/>
  <c r="B104" i="11"/>
  <c r="B100" i="11"/>
  <c r="B102" i="11"/>
  <c r="B103" i="11"/>
  <c r="B105" i="11"/>
  <c r="B101" i="11"/>
  <c r="C128" i="9"/>
  <c r="C127" i="9"/>
  <c r="B108" i="16"/>
  <c r="L52" i="16"/>
  <c r="L57" i="16" s="1"/>
  <c r="L50" i="16"/>
  <c r="L55" i="16" s="1"/>
  <c r="C80" i="16"/>
  <c r="B109" i="16"/>
  <c r="B112" i="16"/>
  <c r="B111" i="16"/>
  <c r="L53" i="16"/>
  <c r="L58" i="16" s="1"/>
  <c r="B110" i="16"/>
  <c r="B113" i="16"/>
  <c r="C98" i="16"/>
  <c r="L51" i="16"/>
  <c r="L56" i="16" s="1"/>
  <c r="C127" i="14"/>
  <c r="C128" i="14"/>
  <c r="B102" i="12"/>
  <c r="B103" i="12"/>
  <c r="B101" i="12"/>
  <c r="B106" i="12"/>
  <c r="B105" i="12"/>
  <c r="B104" i="12"/>
  <c r="C127" i="13"/>
  <c r="C128" i="13"/>
  <c r="B113" i="9"/>
  <c r="B111" i="9"/>
  <c r="L50" i="9"/>
  <c r="L55" i="9" s="1"/>
  <c r="L52" i="9"/>
  <c r="L57" i="9" s="1"/>
  <c r="L51" i="9"/>
  <c r="L56" i="9" s="1"/>
  <c r="L49" i="9"/>
  <c r="L54" i="9" s="1"/>
  <c r="B112" i="9"/>
  <c r="B110" i="9"/>
  <c r="C80" i="9"/>
  <c r="B108" i="9"/>
  <c r="C98" i="9"/>
  <c r="L53" i="9"/>
  <c r="L58" i="9" s="1"/>
  <c r="B109" i="9"/>
  <c r="C128" i="15"/>
  <c r="C127" i="15"/>
  <c r="L59" i="11"/>
  <c r="B86" i="12"/>
  <c r="B87" i="12"/>
  <c r="B85" i="12"/>
  <c r="B89" i="12"/>
  <c r="B90" i="12"/>
  <c r="B88" i="12"/>
  <c r="B89" i="11"/>
  <c r="B84" i="11"/>
  <c r="B87" i="11"/>
  <c r="B88" i="11"/>
  <c r="B86" i="11"/>
  <c r="B85" i="11"/>
  <c r="B113" i="15"/>
  <c r="B108" i="15"/>
  <c r="B112" i="15"/>
  <c r="B111" i="15"/>
  <c r="C98" i="15"/>
  <c r="C80" i="15"/>
  <c r="L52" i="15"/>
  <c r="L57" i="15" s="1"/>
  <c r="L51" i="15"/>
  <c r="L56" i="15" s="1"/>
  <c r="B109" i="15"/>
  <c r="L50" i="15"/>
  <c r="L55" i="15" s="1"/>
  <c r="B110" i="15"/>
  <c r="L53" i="15"/>
  <c r="L58" i="15" s="1"/>
  <c r="L60" i="12"/>
  <c r="L52" i="7"/>
  <c r="L57" i="7" s="1"/>
  <c r="L50" i="7"/>
  <c r="L55" i="7" s="1"/>
  <c r="B113" i="7"/>
  <c r="C99" i="7"/>
  <c r="L53" i="7"/>
  <c r="L58" i="7" s="1"/>
  <c r="B110" i="7"/>
  <c r="B111" i="7"/>
  <c r="L51" i="7"/>
  <c r="L56" i="7" s="1"/>
  <c r="B114" i="7"/>
  <c r="B109" i="7"/>
  <c r="L54" i="7"/>
  <c r="L59" i="7" s="1"/>
  <c r="C81" i="7"/>
  <c r="B112" i="7"/>
  <c r="C128" i="18"/>
  <c r="C129" i="18"/>
  <c r="B109" i="14"/>
  <c r="L53" i="14"/>
  <c r="L58" i="14" s="1"/>
  <c r="L51" i="14"/>
  <c r="L56" i="14" s="1"/>
  <c r="B112" i="14"/>
  <c r="L50" i="14"/>
  <c r="L55" i="14" s="1"/>
  <c r="B110" i="14"/>
  <c r="B113" i="14"/>
  <c r="B111" i="14"/>
  <c r="C80" i="14"/>
  <c r="L49" i="14"/>
  <c r="L54" i="14" s="1"/>
  <c r="B108" i="14"/>
  <c r="C98" i="14"/>
  <c r="L52" i="14"/>
  <c r="L57" i="14" s="1"/>
  <c r="C108" i="12"/>
  <c r="C98" i="12" s="1"/>
  <c r="C83" i="12" l="1"/>
  <c r="C107" i="9"/>
  <c r="C97" i="9" s="1"/>
  <c r="L59" i="14"/>
  <c r="C107" i="15"/>
  <c r="C97" i="15" s="1"/>
  <c r="B105" i="14"/>
  <c r="B100" i="14"/>
  <c r="B104" i="14"/>
  <c r="B102" i="14"/>
  <c r="B101" i="14"/>
  <c r="B103" i="14"/>
  <c r="B103" i="18"/>
  <c r="B104" i="18"/>
  <c r="B106" i="18"/>
  <c r="B102" i="18"/>
  <c r="B105" i="18"/>
  <c r="B101" i="18"/>
  <c r="B104" i="13"/>
  <c r="B103" i="13"/>
  <c r="B105" i="13"/>
  <c r="B101" i="13"/>
  <c r="B100" i="13"/>
  <c r="B102" i="13"/>
  <c r="C107" i="14"/>
  <c r="C97" i="14" s="1"/>
  <c r="C108" i="7"/>
  <c r="C98" i="7" s="1"/>
  <c r="L59" i="9"/>
  <c r="B105" i="7"/>
  <c r="B106" i="7"/>
  <c r="B103" i="7"/>
  <c r="B101" i="7"/>
  <c r="B104" i="7"/>
  <c r="B102" i="7"/>
  <c r="L60" i="7"/>
  <c r="L59" i="13"/>
  <c r="B100" i="16"/>
  <c r="B105" i="16"/>
  <c r="B104" i="16"/>
  <c r="B101" i="16"/>
  <c r="B103" i="16"/>
  <c r="B102" i="16"/>
  <c r="B89" i="16"/>
  <c r="B85" i="16"/>
  <c r="B86" i="16"/>
  <c r="B88" i="16"/>
  <c r="B84" i="16"/>
  <c r="B87" i="16"/>
  <c r="B102" i="17"/>
  <c r="B101" i="17"/>
  <c r="B103" i="17"/>
  <c r="B100" i="17"/>
  <c r="B104" i="17"/>
  <c r="B105" i="17"/>
  <c r="B85" i="15"/>
  <c r="B86" i="15"/>
  <c r="B84" i="15"/>
  <c r="B88" i="15"/>
  <c r="B87" i="15"/>
  <c r="B89" i="15"/>
  <c r="B104" i="9"/>
  <c r="B105" i="9"/>
  <c r="B102" i="9"/>
  <c r="B101" i="9"/>
  <c r="B100" i="9"/>
  <c r="B103" i="9"/>
  <c r="L59" i="16"/>
  <c r="B84" i="17"/>
  <c r="B85" i="17"/>
  <c r="B86" i="17"/>
  <c r="B87" i="17"/>
  <c r="B89" i="17"/>
  <c r="B88" i="17"/>
  <c r="B89" i="18"/>
  <c r="B85" i="18"/>
  <c r="B88" i="18"/>
  <c r="B90" i="18"/>
  <c r="B86" i="18"/>
  <c r="B87" i="18"/>
  <c r="B86" i="13"/>
  <c r="B85" i="13"/>
  <c r="B88" i="13"/>
  <c r="B87" i="13"/>
  <c r="B84" i="13"/>
  <c r="B89" i="13"/>
  <c r="C100" i="12"/>
  <c r="C107" i="12" s="1"/>
  <c r="C130" i="12" s="1"/>
  <c r="L61" i="12" s="1"/>
  <c r="M62" i="12" s="1"/>
  <c r="L62" i="12" s="1"/>
  <c r="K32" i="12" s="1"/>
  <c r="C99" i="11"/>
  <c r="C106" i="11" s="1"/>
  <c r="C129" i="11" s="1"/>
  <c r="L60" i="11" s="1"/>
  <c r="M61" i="11" s="1"/>
  <c r="L61" i="11" s="1"/>
  <c r="K31" i="11" s="1"/>
  <c r="C107" i="13"/>
  <c r="C97" i="13" s="1"/>
  <c r="C82" i="11"/>
  <c r="B85" i="9"/>
  <c r="B84" i="9"/>
  <c r="B88" i="9"/>
  <c r="B89" i="9"/>
  <c r="B86" i="9"/>
  <c r="B87" i="9"/>
  <c r="C107" i="16"/>
  <c r="C97" i="16" s="1"/>
  <c r="L59" i="17"/>
  <c r="L60" i="18"/>
  <c r="C108" i="18"/>
  <c r="C98" i="18" s="1"/>
  <c r="B105" i="15"/>
  <c r="B101" i="15"/>
  <c r="B100" i="15"/>
  <c r="B103" i="15"/>
  <c r="B104" i="15"/>
  <c r="B102" i="15"/>
  <c r="B88" i="7"/>
  <c r="B87" i="7"/>
  <c r="B89" i="7"/>
  <c r="B86" i="7"/>
  <c r="B85" i="7"/>
  <c r="B90" i="7"/>
  <c r="C107" i="17"/>
  <c r="C97" i="17" s="1"/>
  <c r="B87" i="14"/>
  <c r="B88" i="14"/>
  <c r="B85" i="14"/>
  <c r="B89" i="14"/>
  <c r="B86" i="14"/>
  <c r="B84" i="14"/>
  <c r="L59" i="15"/>
  <c r="C83" i="18" l="1"/>
  <c r="C99" i="15"/>
  <c r="C106" i="15" s="1"/>
  <c r="C129" i="15" s="1"/>
  <c r="L60" i="15" s="1"/>
  <c r="M61" i="15" s="1"/>
  <c r="L61" i="15" s="1"/>
  <c r="K31" i="15" s="1"/>
  <c r="M31" i="15" s="1"/>
  <c r="M3" i="15" s="1"/>
  <c r="M32" i="12"/>
  <c r="M3" i="12" s="1"/>
  <c r="L32" i="12"/>
  <c r="L3" i="12" s="1"/>
  <c r="C83" i="7"/>
  <c r="M31" i="11"/>
  <c r="M3" i="11" s="1"/>
  <c r="L31" i="11"/>
  <c r="L3" i="11" s="1"/>
  <c r="C99" i="9"/>
  <c r="C106" i="9" s="1"/>
  <c r="C129" i="9" s="1"/>
  <c r="L60" i="9" s="1"/>
  <c r="M61" i="9" s="1"/>
  <c r="L61" i="9" s="1"/>
  <c r="K31" i="9" s="1"/>
  <c r="C82" i="15"/>
  <c r="C82" i="16"/>
  <c r="C100" i="7"/>
  <c r="C107" i="7" s="1"/>
  <c r="C100" i="18"/>
  <c r="C107" i="18" s="1"/>
  <c r="C130" i="18" s="1"/>
  <c r="L61" i="18" s="1"/>
  <c r="M62" i="18" s="1"/>
  <c r="L62" i="18" s="1"/>
  <c r="K32" i="18" s="1"/>
  <c r="C82" i="9"/>
  <c r="C99" i="16"/>
  <c r="C106" i="16" s="1"/>
  <c r="C129" i="16" s="1"/>
  <c r="L60" i="16" s="1"/>
  <c r="M61" i="16" s="1"/>
  <c r="L61" i="16" s="1"/>
  <c r="K31" i="16" s="1"/>
  <c r="C99" i="14"/>
  <c r="C106" i="14" s="1"/>
  <c r="C129" i="14" s="1"/>
  <c r="L60" i="14" s="1"/>
  <c r="M61" i="14" s="1"/>
  <c r="L61" i="14" s="1"/>
  <c r="K31" i="14" s="1"/>
  <c r="C82" i="14"/>
  <c r="C82" i="13"/>
  <c r="C82" i="17"/>
  <c r="C99" i="17"/>
  <c r="C106" i="17" s="1"/>
  <c r="C129" i="17" s="1"/>
  <c r="L60" i="17" s="1"/>
  <c r="M61" i="17" s="1"/>
  <c r="L61" i="17" s="1"/>
  <c r="K31" i="17" s="1"/>
  <c r="C99" i="13"/>
  <c r="C106" i="13" s="1"/>
  <c r="C129" i="13" s="1"/>
  <c r="L60" i="13" s="1"/>
  <c r="M61" i="13" s="1"/>
  <c r="L61" i="13" s="1"/>
  <c r="K31" i="13" s="1"/>
  <c r="C130" i="7" l="1"/>
  <c r="L31" i="15"/>
  <c r="L3" i="15" s="1"/>
  <c r="M31" i="16"/>
  <c r="M3" i="16" s="1"/>
  <c r="L31" i="16"/>
  <c r="L3" i="16" s="1"/>
  <c r="M31" i="13"/>
  <c r="M3" i="13" s="1"/>
  <c r="L31" i="13"/>
  <c r="L3" i="13" s="1"/>
  <c r="M31" i="17"/>
  <c r="M3" i="17" s="1"/>
  <c r="L31" i="17"/>
  <c r="L3" i="17" s="1"/>
  <c r="M32" i="18"/>
  <c r="M3" i="18" s="1"/>
  <c r="L32" i="18"/>
  <c r="L3" i="18" s="1"/>
  <c r="M31" i="14"/>
  <c r="M3" i="14" s="1"/>
  <c r="L31" i="14"/>
  <c r="L3" i="14" s="1"/>
  <c r="M31" i="9"/>
  <c r="M3" i="9" s="1"/>
  <c r="L31" i="9"/>
  <c r="L3" i="9" s="1"/>
  <c r="L61" i="7" l="1"/>
  <c r="M61" i="7"/>
  <c r="M62" i="7" l="1"/>
  <c r="L62" i="7" s="1"/>
  <c r="K32" i="7" s="1"/>
  <c r="L32" i="7" s="1"/>
  <c r="L3" i="7" s="1"/>
  <c r="M32" i="7" l="1"/>
  <c r="M3" i="7" s="1"/>
</calcChain>
</file>

<file path=xl/sharedStrings.xml><?xml version="1.0" encoding="utf-8"?>
<sst xmlns="http://schemas.openxmlformats.org/spreadsheetml/2006/main" count="3258" uniqueCount="365">
  <si>
    <t>Sueldo Base</t>
  </si>
  <si>
    <t>Complemento de Destino</t>
  </si>
  <si>
    <t>Complemento Específico (General + CCAA)</t>
  </si>
  <si>
    <t>Grupo A1</t>
  </si>
  <si>
    <t>Nivel 24</t>
  </si>
  <si>
    <t>Nivel 26</t>
  </si>
  <si>
    <t>Grupo A2</t>
  </si>
  <si>
    <t>Primer sexenio</t>
  </si>
  <si>
    <t>Segundo sexenio</t>
  </si>
  <si>
    <t>Tercer sexenio</t>
  </si>
  <si>
    <t>Cuarto sexenio</t>
  </si>
  <si>
    <t>Quinto sexenio</t>
  </si>
  <si>
    <t>EXTRA: Sueldo Base</t>
  </si>
  <si>
    <t>Trienio A1 (cada uno)</t>
  </si>
  <si>
    <t>EXTRA: Trienio A1 (cada uno)</t>
  </si>
  <si>
    <t>Trienio A2 (cada uno)</t>
  </si>
  <si>
    <t>EXTRA: Trienio A2 (cada uno)</t>
  </si>
  <si>
    <t>COMPLEMENTOS</t>
  </si>
  <si>
    <t>CARGOS DIRECTIVOS</t>
  </si>
  <si>
    <t>Dirección</t>
  </si>
  <si>
    <t>TIPO DE CENTRO</t>
  </si>
  <si>
    <t>Observaciones</t>
  </si>
  <si>
    <t>A</t>
  </si>
  <si>
    <t>B</t>
  </si>
  <si>
    <t>C</t>
  </si>
  <si>
    <t>D</t>
  </si>
  <si>
    <t>E</t>
  </si>
  <si>
    <t>F</t>
  </si>
  <si>
    <t>Al menos 54 uds</t>
  </si>
  <si>
    <t>Entre 27 y 53 uds</t>
  </si>
  <si>
    <t>Entre 28 y 26 uds</t>
  </si>
  <si>
    <t>Entre 9 y 17 uds</t>
  </si>
  <si>
    <t>Entre 3 y 8 uds</t>
  </si>
  <si>
    <t>1 o 2 uds</t>
  </si>
  <si>
    <t>Jefatura de Estudios</t>
  </si>
  <si>
    <t>Secretaría</t>
  </si>
  <si>
    <t>A (E. Medias)</t>
  </si>
  <si>
    <t>B (E. Medias)</t>
  </si>
  <si>
    <t>C (E. Medias)</t>
  </si>
  <si>
    <t>D (E. Medias)</t>
  </si>
  <si>
    <t>Más de 1800 alumnos</t>
  </si>
  <si>
    <t>Entre 1001 y 1800 alumnos</t>
  </si>
  <si>
    <t>Entre 601 y 1000 alumnos</t>
  </si>
  <si>
    <t>Hasta 600 alumnos</t>
  </si>
  <si>
    <t>Jefatura de Estudios Adjunta</t>
  </si>
  <si>
    <t>Jefatura de Residencia Tipo A</t>
  </si>
  <si>
    <t>Jefatura de Residencia Tipo B</t>
  </si>
  <si>
    <t>OTROS PUESTOS (Complemento Específico Singular)</t>
  </si>
  <si>
    <t>Jefatura de Departamento</t>
  </si>
  <si>
    <t>Coordinación de Calidad</t>
  </si>
  <si>
    <t>ASESORÍA LINGÜÍSTICA - Complemento bilingüísmo</t>
  </si>
  <si>
    <t>Importe C1</t>
  </si>
  <si>
    <t>Importe por hora de docencia en DNL</t>
  </si>
  <si>
    <t>COMPLEMENTO DE ITINERANCIAS</t>
  </si>
  <si>
    <t>0 a 50 km semanales</t>
  </si>
  <si>
    <t>51 a 100 km semanales</t>
  </si>
  <si>
    <t>101 a 150 km semanales</t>
  </si>
  <si>
    <t>151 a 200 km semanales</t>
  </si>
  <si>
    <t>201 a 250 km semanales</t>
  </si>
  <si>
    <t>251 a 300 km semanales</t>
  </si>
  <si>
    <t>301 a 350 km semanales</t>
  </si>
  <si>
    <t>351 a 400 km semanales</t>
  </si>
  <si>
    <t>401 a 450 km semanales</t>
  </si>
  <si>
    <t>Más de 450 km semanales</t>
  </si>
  <si>
    <t>A (CRAs)</t>
  </si>
  <si>
    <t>B (CRAs)</t>
  </si>
  <si>
    <t>C (CRAs)</t>
  </si>
  <si>
    <t>D (CRAs)</t>
  </si>
  <si>
    <t>E (CRAs)</t>
  </si>
  <si>
    <t>F (CRAs)</t>
  </si>
  <si>
    <t>OTROS COMPLEMENTOS (Complemento Específico Singular)</t>
  </si>
  <si>
    <t>Complemento de Maestros en IES</t>
  </si>
  <si>
    <t>Complemento Docente en CRAs</t>
  </si>
  <si>
    <t>Maestro en CRA</t>
  </si>
  <si>
    <t>Orientador en CRA</t>
  </si>
  <si>
    <t>Docente en Aula de centro penitenciario</t>
  </si>
  <si>
    <t>Docente en Centro de Educación Especial</t>
  </si>
  <si>
    <t>Grupo C1</t>
  </si>
  <si>
    <t>Grupo C2</t>
  </si>
  <si>
    <t>EXTRA: Trienio C1 (cada uno)</t>
  </si>
  <si>
    <t>Trienio C1 (cada uno)</t>
  </si>
  <si>
    <t>EXTRA: Trienio C2 (cada uno)</t>
  </si>
  <si>
    <t>Trienio C2 (cada uno)</t>
  </si>
  <si>
    <t>Trienio Agrupaciones profesionales (cada uno)</t>
  </si>
  <si>
    <t>Antiguo grupo E</t>
  </si>
  <si>
    <t>EXTRA: Trienio Agrupaciones profesionales (cada uno)</t>
  </si>
  <si>
    <t>Nivel 21</t>
  </si>
  <si>
    <t>Complemento Específico (General + CCAA) - Inspección</t>
  </si>
  <si>
    <t>Complemento Específico (General + CCAA) - Catedráticos</t>
  </si>
  <si>
    <t>A (Colegios, CEPAs, CEEs)</t>
  </si>
  <si>
    <t>B (Colegios, CEPAs, CEEs)</t>
  </si>
  <si>
    <t>C (Colegios, CEPAs, CEEs)</t>
  </si>
  <si>
    <t>D (Colegios, CEPAs, CEEs)</t>
  </si>
  <si>
    <t>E (Colegios, CEPAs, CEEs)</t>
  </si>
  <si>
    <t>F (Colegios, CEPAs, CEEs)</t>
  </si>
  <si>
    <t>CRIER</t>
  </si>
  <si>
    <t>Secretaría del CRFP</t>
  </si>
  <si>
    <t>Coordinación Equipos de Atención Hospitalaria y Domiciliaria</t>
  </si>
  <si>
    <t>Coordinación Programa Recuperación Pueblos Abandonados</t>
  </si>
  <si>
    <t>Jefatura de Residencia de CEE</t>
  </si>
  <si>
    <t>Docente en Equipo de Atención Hospitalaria y Domiciliaria</t>
  </si>
  <si>
    <t>Asesor Técnico Docente Tipo A</t>
  </si>
  <si>
    <t>Asesor Técnico Docente Tipo B</t>
  </si>
  <si>
    <t>Inspector/a Coordinador/a</t>
  </si>
  <si>
    <t>Inspector/a de Educación</t>
  </si>
  <si>
    <t>Inspector/a General de Educación</t>
  </si>
  <si>
    <t>Inspector/a Central / Jefe del Servicio de Inspección</t>
  </si>
  <si>
    <t>COMPLEMENTO ESPECÍFICO DE FORMACIÓN PERMANENTE</t>
  </si>
  <si>
    <t>Maestros</t>
  </si>
  <si>
    <t>Enseñanzas medias</t>
  </si>
  <si>
    <t>Importe máximo</t>
  </si>
  <si>
    <t>Importe Base (importe mínimo)</t>
  </si>
  <si>
    <t>Sueldo base</t>
  </si>
  <si>
    <t>C. Destino</t>
  </si>
  <si>
    <t>C. Espefícicos (General + CCAA)</t>
  </si>
  <si>
    <t>TOTAL BRUTO</t>
  </si>
  <si>
    <t>Trienios A1</t>
  </si>
  <si>
    <t>Trienios A2</t>
  </si>
  <si>
    <t>Trienios C1</t>
  </si>
  <si>
    <t>Trienios C2</t>
  </si>
  <si>
    <t>Trienios</t>
  </si>
  <si>
    <t>Trienios agrupaciones especiales</t>
  </si>
  <si>
    <t>TOTAL TRIENIOS</t>
  </si>
  <si>
    <t>Número de sexenios</t>
  </si>
  <si>
    <t>Selecciona Tipo de centro</t>
  </si>
  <si>
    <t>Director</t>
  </si>
  <si>
    <t>Director/a</t>
  </si>
  <si>
    <t>Secretario/a</t>
  </si>
  <si>
    <t>Jefe/a de estudios</t>
  </si>
  <si>
    <t>Selecciona Centro</t>
  </si>
  <si>
    <t>CRA</t>
  </si>
  <si>
    <t>CEE</t>
  </si>
  <si>
    <t>CEPA</t>
  </si>
  <si>
    <t>CEIP</t>
  </si>
  <si>
    <t>%</t>
  </si>
  <si>
    <t>Ninguno</t>
  </si>
  <si>
    <t>Jefe/a de estudios adjunto/a</t>
  </si>
  <si>
    <t>Sí</t>
  </si>
  <si>
    <t>No</t>
  </si>
  <si>
    <t>En IES</t>
  </si>
  <si>
    <t>En CRA</t>
  </si>
  <si>
    <t>En CEE</t>
  </si>
  <si>
    <t>Certificado C1</t>
  </si>
  <si>
    <t>Número de horas</t>
  </si>
  <si>
    <t>Puesto bilingüe en área no língüística</t>
  </si>
  <si>
    <t>¿Itinerante?</t>
  </si>
  <si>
    <t>Km semanales</t>
  </si>
  <si>
    <t>C. Específico Formación (Sexenios)</t>
  </si>
  <si>
    <t>Jefatura de Estudios adjunta</t>
  </si>
  <si>
    <t>Complemento Maestros en IES</t>
  </si>
  <si>
    <t>Complemento Maestros en CRA</t>
  </si>
  <si>
    <t>Complemento Maestros en CEE</t>
  </si>
  <si>
    <t>Complemento lingüístico</t>
  </si>
  <si>
    <t>Complemento itinerancias</t>
  </si>
  <si>
    <t>Jefe/Secretario</t>
  </si>
  <si>
    <t>Director CRA</t>
  </si>
  <si>
    <t>Jefe/Secre CRA</t>
  </si>
  <si>
    <t>Introduce el número de trienios de cada tipo</t>
  </si>
  <si>
    <t>Situación laboral</t>
  </si>
  <si>
    <t>Funcionario/a de carrera</t>
  </si>
  <si>
    <t>Funcionario/a en prácticas</t>
  </si>
  <si>
    <t>Funcionario/a interino/a</t>
  </si>
  <si>
    <t>Descuentos</t>
  </si>
  <si>
    <t>Cuota obrera (funcionarios/as de carrera después de 2011)</t>
  </si>
  <si>
    <t>Cuota obrera (funcionarios/as interinos/as)</t>
  </si>
  <si>
    <t>IRPF</t>
  </si>
  <si>
    <t>PAGA EXTRA</t>
  </si>
  <si>
    <t>Desglose de IRPF</t>
  </si>
  <si>
    <t>Retribuciones totales anuales</t>
  </si>
  <si>
    <t>Datos para el cálculo del IRPF</t>
  </si>
  <si>
    <t>Mínimo personal</t>
  </si>
  <si>
    <t>¿Mayor de 65 años?</t>
  </si>
  <si>
    <t>Mínimo por ascendientes</t>
  </si>
  <si>
    <t>Nº de descendientes menores de 3 años</t>
  </si>
  <si>
    <t>Nº total de descendientes (hijos/as)</t>
  </si>
  <si>
    <t>Mínimo por descendientes</t>
  </si>
  <si>
    <t>HIJOS</t>
  </si>
  <si>
    <t>Primero</t>
  </si>
  <si>
    <t>Segundo</t>
  </si>
  <si>
    <t>tercero</t>
  </si>
  <si>
    <t>cuarto</t>
  </si>
  <si>
    <t>Grado de Discapacidad propia</t>
  </si>
  <si>
    <t>Sin discapacidad</t>
  </si>
  <si>
    <t>Igual o superior al 65%</t>
  </si>
  <si>
    <t>Menor del 33%</t>
  </si>
  <si>
    <t>Más de 33% y menos de 65%</t>
  </si>
  <si>
    <t>Discapacidad propia</t>
  </si>
  <si>
    <t>Discapacidad ascendientes</t>
  </si>
  <si>
    <t>Discapacidad desdencientes</t>
  </si>
  <si>
    <t>¿Necesitas ayuda de terceras personas o tienes movilidad reducida?</t>
  </si>
  <si>
    <t>Anualidades por alimentos en favor de los hijos/as</t>
  </si>
  <si>
    <t>Pensión anual compensatoria en favor del cónyuge</t>
  </si>
  <si>
    <t>Número de descencientes con discapacidad igual o superior al 65%</t>
  </si>
  <si>
    <t>Edad</t>
  </si>
  <si>
    <t>Grado de Discapacidad</t>
  </si>
  <si>
    <t>Nº de descendientes con los que convive</t>
  </si>
  <si>
    <t>¿Cómputo por entero de descendientes?</t>
  </si>
  <si>
    <t>Mínimo ascendiente 1</t>
  </si>
  <si>
    <t>Mínimo ascendiente 2</t>
  </si>
  <si>
    <t>Mínimo ascendiente 3</t>
  </si>
  <si>
    <t>Mínimo ascendiente 4</t>
  </si>
  <si>
    <t>¿Necesita ayuda de terceras personas o tiene movilidad reducida?</t>
  </si>
  <si>
    <t>Discapacidad ascendiente 1</t>
  </si>
  <si>
    <t>Discapacidad ascendiente 2</t>
  </si>
  <si>
    <t>Discapacidad ascendiente 3</t>
  </si>
  <si>
    <t>Discapacidad ascendiente 4</t>
  </si>
  <si>
    <t>Gastos de asistencia propia</t>
  </si>
  <si>
    <t>Número de descendientes con discapacidad de entre 33 y &lt;65% sin movilidad reducida y que no necesitan ayuda de terceras personas</t>
  </si>
  <si>
    <t>Total mínimo personal y familiar</t>
  </si>
  <si>
    <t xml:space="preserve">Base </t>
  </si>
  <si>
    <t>Cantidad tramo 1 (hasta 12.450 €)</t>
  </si>
  <si>
    <t>Cantidad tramo 2 (de 12.450 a 20.200 €)</t>
  </si>
  <si>
    <t>Cantidad tramo 3 (de 20.200 a 35.200 €)</t>
  </si>
  <si>
    <t>Cantidad tramo 4 (de 35.200 a 60.000 €)</t>
  </si>
  <si>
    <t>Cantidad tramo 5 (de 60.000 a 300.200 €)</t>
  </si>
  <si>
    <t>IRPF Tramo 1 (19%)</t>
  </si>
  <si>
    <t>IRPF Tramo 2 (24%)</t>
  </si>
  <si>
    <t>IRPF Tramo 3 (30%)</t>
  </si>
  <si>
    <t>IRPF Tramo 4 (37%)</t>
  </si>
  <si>
    <t>IRPF Tramo 5 (45%)</t>
  </si>
  <si>
    <t>% DE IRPF</t>
  </si>
  <si>
    <t>TOTAL A PERCIBIR</t>
  </si>
  <si>
    <t>Cálculo de cuota obrera (Funcionariado de carrera/ en prácticas)</t>
  </si>
  <si>
    <t>Cálculo de cuota obrera (funcionariado interino)</t>
  </si>
  <si>
    <t>Contingencias comunes</t>
  </si>
  <si>
    <t>Mecanismo de Equidad Intergeneracional</t>
  </si>
  <si>
    <t>Desempleo</t>
  </si>
  <si>
    <t>Formación profesional</t>
  </si>
  <si>
    <t>TOTAL</t>
  </si>
  <si>
    <t>Coeficiente reductor</t>
  </si>
  <si>
    <t>Contingencias comunes empresa</t>
  </si>
  <si>
    <t>MUFACE (funcionarios/as de carrera y en prácticas) *</t>
  </si>
  <si>
    <t>Derechos Pasivos (funcionarios/as de carrera antes de 2011) *</t>
  </si>
  <si>
    <t>Datos para el cálculo de descuentos</t>
  </si>
  <si>
    <t>Introduce los datos para el cálculo de tu nómina</t>
  </si>
  <si>
    <t xml:space="preserve">NÓMINA mensual </t>
  </si>
  <si>
    <t>Gastos deducibles (SS, Muface, derechos pasivos)</t>
  </si>
  <si>
    <t>Situación familiar</t>
  </si>
  <si>
    <t>Casados y no separados legalmente cuando su cónyuge no obtiene rentas superiores a 1.500€ anuales excluidas las exentas</t>
  </si>
  <si>
    <t>Solteros sin hijos, casados cuyo cónyuge obtiene rentas superiores a 1.500€ anuales, o no se quiere informar sobre su situación familiar.</t>
  </si>
  <si>
    <t>Familia monoparental con hijos: Solteros, viudos, divorciados o separados legalmente con hijos solteros menores de 18 años o incapacitados judicialmente y sometidos a patria potestad prorrogada o rehabilitada que convivan contigo sin convivir también con el otro progenitor.</t>
  </si>
  <si>
    <t>Otros gastos deducibles (general, pensión comp., discapacidad)</t>
  </si>
  <si>
    <t>CALCULO ANUALIDADES</t>
  </si>
  <si>
    <t>Base 1</t>
  </si>
  <si>
    <t>Base 2</t>
  </si>
  <si>
    <t>Cuota1.1</t>
  </si>
  <si>
    <t>Cuota1.2</t>
  </si>
  <si>
    <t>Cuota</t>
  </si>
  <si>
    <t>CUOTA1</t>
  </si>
  <si>
    <t>PRECUOTA 2</t>
  </si>
  <si>
    <t>Cuota 2</t>
  </si>
  <si>
    <t>CUOTA</t>
  </si>
  <si>
    <t>Cuota base sin anualidades</t>
  </si>
  <si>
    <t>LÍMITE DEL 43%</t>
  </si>
  <si>
    <t>pensión</t>
  </si>
  <si>
    <t>desempleo</t>
  </si>
  <si>
    <t>CUOTA FINAL</t>
  </si>
  <si>
    <t>HAY LÍMITE?</t>
  </si>
  <si>
    <t>LÍMITE</t>
  </si>
  <si>
    <t>Minoración de pagos por adquisición/rehabilitación de vivienda</t>
  </si>
  <si>
    <t>Ascendiente nº 1 a cargo</t>
  </si>
  <si>
    <t>Ascendiente nº 2 a cargo</t>
  </si>
  <si>
    <t>Ascendiente nº 3 a cargo</t>
  </si>
  <si>
    <t>Ascendiente nº 4 a cargo</t>
  </si>
  <si>
    <t>TOTAL IRPF con minoraciones por anualidades, vivienda y 43%</t>
  </si>
  <si>
    <t>Reducción por rendimientos del trabajo</t>
  </si>
  <si>
    <t>TOTAL IRPF por tramos sin minoraciones ni límites</t>
  </si>
  <si>
    <t>Gastos por adquisición/rehabilitación de vivienda antes de 2013</t>
  </si>
  <si>
    <t>Introduce el % de jornada (media jornada 50%, un tercio 33,33%)</t>
  </si>
  <si>
    <t>Docente en Aula Penitenciaria</t>
  </si>
  <si>
    <t>Docente en aula penitenciaria</t>
  </si>
  <si>
    <t>En Aula Penitenciaria</t>
  </si>
  <si>
    <t>Complemento Aula penitenciaria</t>
  </si>
  <si>
    <t>Consolidación complemento director</t>
  </si>
  <si>
    <t>Selecciona Cargo Directivo o Consolidación complemento dirección</t>
  </si>
  <si>
    <t>ExDirector/a 1 mandato</t>
  </si>
  <si>
    <t>ExDirector/a 2 mandatos</t>
  </si>
  <si>
    <t>ExDirector/a 3 mandatos</t>
  </si>
  <si>
    <t>Selecciona centro</t>
  </si>
  <si>
    <t>IES, IESO, SES, CIFP</t>
  </si>
  <si>
    <t>Director CEPA</t>
  </si>
  <si>
    <t>Jefe/Secre CEPA</t>
  </si>
  <si>
    <t>CEPA, CEE</t>
  </si>
  <si>
    <t>Coordinación de calidad</t>
  </si>
  <si>
    <t>GRUPO</t>
  </si>
  <si>
    <t>NIVEL</t>
  </si>
  <si>
    <t>INDEMNIZACIÓN POR RAZÓN DE SERVICIO (Kilometraje)</t>
  </si>
  <si>
    <t>Ir a inicio</t>
  </si>
  <si>
    <t>Complemento Inspección</t>
  </si>
  <si>
    <t>Selecciona cargo</t>
  </si>
  <si>
    <t>Cuantías de los complementos</t>
  </si>
  <si>
    <t>Nómina de Catedráticos/as de Secundaria</t>
  </si>
  <si>
    <t>Nómina de Profesores/as de Secundaria</t>
  </si>
  <si>
    <t>Nómina de Profesores/as Técnicos/as de FP</t>
  </si>
  <si>
    <t>Nómina de Especialistas en Sectores Singulares</t>
  </si>
  <si>
    <t>Nómina de Maestros/as</t>
  </si>
  <si>
    <t>Nómina de Catedráticos de EOI</t>
  </si>
  <si>
    <t>Nómina de Profesores/as de EOI</t>
  </si>
  <si>
    <t>Nómina Catedráticos/as Música y Artes Escénicas</t>
  </si>
  <si>
    <t>Nómina Profesores/as Música y Artes Escénicas</t>
  </si>
  <si>
    <t>Nómina Catedráticos/as Artes Plásticas y Diseño</t>
  </si>
  <si>
    <t>Nómina Profesores/as Artes Plásticas y Diseño</t>
  </si>
  <si>
    <t>Nómina de Asesores/as Técnicos Docentes</t>
  </si>
  <si>
    <t>Nómina de Inspectores/as de Educación</t>
  </si>
  <si>
    <t>Nómina de Maestros de Taller</t>
  </si>
  <si>
    <t>Nómina de Orientadores/as</t>
  </si>
  <si>
    <t>Consolidación complemento director/a</t>
  </si>
  <si>
    <t>Tipo de centro</t>
  </si>
  <si>
    <t>Centro docente</t>
  </si>
  <si>
    <t>Número de mandatos</t>
  </si>
  <si>
    <t>CEPA, CEE, CEIP</t>
  </si>
  <si>
    <t>IES, IESO, SES, CIFP, CP, EOI, EA</t>
  </si>
  <si>
    <t>3 o más</t>
  </si>
  <si>
    <t>CONSOLIDACIÓN DIRECTOR</t>
  </si>
  <si>
    <t>-</t>
  </si>
  <si>
    <t>.</t>
  </si>
  <si>
    <t>Selecciona Consolidación complemento dirección</t>
  </si>
  <si>
    <t>Turismos (céntimos por km)</t>
  </si>
  <si>
    <t>Motocicletas (céntimos por km)</t>
  </si>
  <si>
    <t>Alojamiento y desayuno</t>
  </si>
  <si>
    <t>Manutención</t>
  </si>
  <si>
    <t>Dieta entera</t>
  </si>
  <si>
    <t>Presidente Categoría Primera (procesos de subgrupo A1)</t>
  </si>
  <si>
    <t>Vocal Categoría Primera (procesos de subgrupo A1)</t>
  </si>
  <si>
    <t>Presidente Categoría Segunda (procesos de subgrupo A2)</t>
  </si>
  <si>
    <t>Vocal Categoría Segunda (procesos de subgrupo A2)</t>
  </si>
  <si>
    <t>Presidente y Secretarios</t>
  </si>
  <si>
    <t>Vocales</t>
  </si>
  <si>
    <t>INDEMNIZACIONES POR DIETAS (por día)</t>
  </si>
  <si>
    <t>INDEMNIZACIONES POR PARTICIPACIÓN EN TRIBUNALES Y COMISIONES DE VALORACIÓN EN PROCESOS DE PROVISIÓN DE PUESTOS (por asistencia)</t>
  </si>
  <si>
    <t>ITINERANCIAS - INDEMNIZACIONES POR HORA LECTIVA NO REDUCIDA</t>
  </si>
  <si>
    <t>¿Maestro/a en IES, CRA, Aula, hospitalaria, penitenciaria o CEE?</t>
  </si>
  <si>
    <t>Complemento Aula Hospitalaria y Domiciliaria</t>
  </si>
  <si>
    <t>En Aula Hospitalaria</t>
  </si>
  <si>
    <t>Docente en Aula Hospitalaria y Domiciliaria</t>
  </si>
  <si>
    <t>Docente en aula hospitalaria</t>
  </si>
  <si>
    <t>GRATIFICACIÓN TUTORES FP DUAL</t>
  </si>
  <si>
    <t>Gratificación fija</t>
  </si>
  <si>
    <t>Gratificación por alumno/a</t>
  </si>
  <si>
    <t>Gratificación por empresa</t>
  </si>
  <si>
    <t>Gratificación máxima</t>
  </si>
  <si>
    <t>GRATIFICACIONES TRIBUNALES DE EVALUACIÓN Y CALIFICACIÓN PRUEBAS LIBRES BACHILLERATO Y PREMIOS EXTRAORDINARIOS DE BACHILLERATO</t>
  </si>
  <si>
    <t>Presidencia y Secretaría (por asistencia, máximo 6 asistencias)</t>
  </si>
  <si>
    <t>Vocales y asesores/as docentes especializados/as (por asistencia, máximo 6 asistencias)</t>
  </si>
  <si>
    <t>GRATIFICACIONES TRIBUNALES DE EVALUACIÓN Y CALIFICACIÓN PRUEBAS LIBRES ESO Y PREMIOS EXTRAORDINARIOS DE ESO Y ENSEÑANZAS ARTÍSTICAS</t>
  </si>
  <si>
    <t>Vocales (por asistencia, máximo 6 asistencias)</t>
  </si>
  <si>
    <t>GRATIFICACIONES TRIBUNALES DE EVALUACIÓN Y CALIFICACIÓN PRUEBAS LIBRES TÉCNICO Y TÉCNICO SUPERIOR FP</t>
  </si>
  <si>
    <t>Presidencia, importe fijo</t>
  </si>
  <si>
    <t>Presidencia, gratificación máxima</t>
  </si>
  <si>
    <t>Secretaría y vocales, importe fijo</t>
  </si>
  <si>
    <t>Secretaría y vocales, gratificación máxima</t>
  </si>
  <si>
    <t>Presidencia, importe por examen</t>
  </si>
  <si>
    <t>Secretaría y vocales, importe por examen</t>
  </si>
  <si>
    <t>GRATIFICACIONES TRIBUNALES DE EVALUACIÓN Y CALIFICACIÓN PRUEBAS ACCESO A FP</t>
  </si>
  <si>
    <t>GRATIFICACIONES TRIBUNALES DE EVALUACIÓN Y CALIFICACIÓN PRUEBA EXTERNA BACCALAUREAT</t>
  </si>
  <si>
    <t>GRATIFICACIONES TRIBUNALES DE EVALUACIÓN Y CALIFICACIÓN PRUEBAS ESPECÍFICAS B1 PARA ALUMNADO DE ESO EN CENTROS BILINGÜES</t>
  </si>
  <si>
    <t>GRATIFICACIONES TRIBUNALES DE EVALUACIÓN Y CALIFICACIÓN PRUEBAS LIBRES EASA Y PERAM</t>
  </si>
  <si>
    <t>GRATIFICACION PLAN DE EMPLEO JUVENIL</t>
  </si>
  <si>
    <t>Coordinación del Plan de Acción para el Empleo Juvenil (importe máximo)</t>
  </si>
  <si>
    <t>CUANTÍAS</t>
  </si>
  <si>
    <t>Resumen de nómina</t>
  </si>
  <si>
    <t>Acumulado</t>
  </si>
  <si>
    <t>TOTAL IRPF minoraciones por anualidades, vivienda y 43%</t>
  </si>
  <si>
    <t>OPOSICIONES: INDEMNIZACIONES POR PARTICIPACIÓN EN TRIBUNALES Y COMISIONES DE SELECCIÓN (por asistencia)</t>
  </si>
  <si>
    <t>Cuantías de los complementos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</si>
</sst>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%"/>
    <numFmt numFmtId="165" formatCode="_-[$€-2]\ * #,##0.00_-;\-[$€-2]\ * #,##0.00_-;_-[$€-2]\ 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0"/>
      <name val="Arial"/>
      <family val="2"/>
    </font>
    <font>
      <i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i/>
      <sz val="1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7"/>
      <color rgb="FFFFFFFF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2020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89">
    <xf numFmtId="0" fontId="0" fillId="0" borderId="0" xfId="0"/>
    <xf numFmtId="0" fontId="0" fillId="2" borderId="0" xfId="0" applyFill="1"/>
    <xf numFmtId="0" fontId="0" fillId="3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0" xfId="0" applyFont="1" applyFill="1"/>
    <xf numFmtId="44" fontId="5" fillId="2" borderId="10" xfId="1" applyFont="1" applyFill="1" applyBorder="1" applyProtection="1"/>
    <xf numFmtId="0" fontId="5" fillId="2" borderId="1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44" fontId="5" fillId="2" borderId="5" xfId="1" applyFont="1" applyFill="1" applyBorder="1" applyProtection="1"/>
    <xf numFmtId="44" fontId="5" fillId="2" borderId="6" xfId="1" applyFont="1" applyFill="1" applyBorder="1" applyProtection="1"/>
    <xf numFmtId="0" fontId="6" fillId="2" borderId="0" xfId="0" applyFont="1" applyFill="1"/>
    <xf numFmtId="0" fontId="3" fillId="5" borderId="1" xfId="0" applyFont="1" applyFill="1" applyBorder="1"/>
    <xf numFmtId="0" fontId="3" fillId="5" borderId="4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0" fillId="2" borderId="3" xfId="0" applyFill="1" applyBorder="1"/>
    <xf numFmtId="10" fontId="0" fillId="2" borderId="0" xfId="0" applyNumberFormat="1" applyFill="1"/>
    <xf numFmtId="44" fontId="4" fillId="2" borderId="0" xfId="0" applyNumberFormat="1" applyFont="1" applyFill="1"/>
    <xf numFmtId="44" fontId="4" fillId="2" borderId="0" xfId="1" applyFont="1" applyFill="1" applyProtection="1"/>
    <xf numFmtId="44" fontId="2" fillId="2" borderId="0" xfId="1" applyFont="1" applyFill="1" applyProtection="1"/>
    <xf numFmtId="0" fontId="11" fillId="2" borderId="9" xfId="0" applyFont="1" applyFill="1" applyBorder="1"/>
    <xf numFmtId="0" fontId="11" fillId="2" borderId="0" xfId="0" applyFont="1" applyFill="1"/>
    <xf numFmtId="0" fontId="3" fillId="3" borderId="7" xfId="0" applyFont="1" applyFill="1" applyBorder="1"/>
    <xf numFmtId="0" fontId="3" fillId="3" borderId="8" xfId="0" applyFont="1" applyFill="1" applyBorder="1"/>
    <xf numFmtId="0" fontId="5" fillId="2" borderId="10" xfId="0" applyFont="1" applyFill="1" applyBorder="1"/>
    <xf numFmtId="0" fontId="3" fillId="3" borderId="4" xfId="0" applyFont="1" applyFill="1" applyBorder="1"/>
    <xf numFmtId="0" fontId="0" fillId="2" borderId="2" xfId="2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/>
    <xf numFmtId="0" fontId="5" fillId="2" borderId="7" xfId="0" applyFont="1" applyFill="1" applyBorder="1"/>
    <xf numFmtId="44" fontId="5" fillId="2" borderId="4" xfId="1" applyFont="1" applyFill="1" applyBorder="1" applyProtection="1"/>
    <xf numFmtId="44" fontId="5" fillId="2" borderId="5" xfId="0" applyNumberFormat="1" applyFont="1" applyFill="1" applyBorder="1"/>
    <xf numFmtId="44" fontId="5" fillId="2" borderId="6" xfId="0" applyNumberFormat="1" applyFont="1" applyFill="1" applyBorder="1"/>
    <xf numFmtId="10" fontId="5" fillId="0" borderId="12" xfId="0" applyNumberFormat="1" applyFont="1" applyBorder="1" applyAlignment="1">
      <alignment horizontal="left"/>
    </xf>
    <xf numFmtId="44" fontId="5" fillId="2" borderId="10" xfId="0" applyNumberFormat="1" applyFont="1" applyFill="1" applyBorder="1"/>
    <xf numFmtId="44" fontId="5" fillId="2" borderId="12" xfId="0" applyNumberFormat="1" applyFont="1" applyFill="1" applyBorder="1"/>
    <xf numFmtId="9" fontId="0" fillId="2" borderId="1" xfId="2" applyFont="1" applyFill="1" applyBorder="1" applyAlignment="1" applyProtection="1">
      <alignment horizontal="center"/>
      <protection locked="0"/>
    </xf>
    <xf numFmtId="44" fontId="11" fillId="2" borderId="4" xfId="1" applyFont="1" applyFill="1" applyBorder="1" applyProtection="1"/>
    <xf numFmtId="44" fontId="11" fillId="2" borderId="5" xfId="1" applyFont="1" applyFill="1" applyBorder="1" applyProtection="1"/>
    <xf numFmtId="0" fontId="11" fillId="2" borderId="11" xfId="0" applyFont="1" applyFill="1" applyBorder="1"/>
    <xf numFmtId="44" fontId="11" fillId="2" borderId="6" xfId="1" applyFont="1" applyFill="1" applyBorder="1" applyProtection="1"/>
    <xf numFmtId="0" fontId="11" fillId="2" borderId="7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5" xfId="0" applyFont="1" applyFill="1" applyBorder="1"/>
    <xf numFmtId="0" fontId="11" fillId="2" borderId="8" xfId="0" applyFont="1" applyFill="1" applyBorder="1"/>
    <xf numFmtId="0" fontId="11" fillId="2" borderId="10" xfId="0" applyFont="1" applyFill="1" applyBorder="1"/>
    <xf numFmtId="0" fontId="6" fillId="2" borderId="10" xfId="0" applyFont="1" applyFill="1" applyBorder="1"/>
    <xf numFmtId="0" fontId="6" fillId="2" borderId="12" xfId="0" applyFont="1" applyFill="1" applyBorder="1"/>
    <xf numFmtId="0" fontId="4" fillId="3" borderId="0" xfId="0" applyFont="1" applyFill="1"/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44" fontId="3" fillId="3" borderId="0" xfId="1" applyFont="1" applyFill="1"/>
    <xf numFmtId="0" fontId="4" fillId="2" borderId="0" xfId="0" applyFont="1" applyFill="1" applyAlignment="1">
      <alignment horizontal="center"/>
    </xf>
    <xf numFmtId="44" fontId="11" fillId="2" borderId="10" xfId="1" applyFont="1" applyFill="1" applyBorder="1" applyProtection="1"/>
    <xf numFmtId="10" fontId="5" fillId="2" borderId="10" xfId="0" applyNumberFormat="1" applyFont="1" applyFill="1" applyBorder="1"/>
    <xf numFmtId="44" fontId="15" fillId="4" borderId="1" xfId="0" applyNumberFormat="1" applyFont="1" applyFill="1" applyBorder="1" applyAlignment="1">
      <alignment vertical="center" wrapText="1"/>
    </xf>
    <xf numFmtId="44" fontId="15" fillId="4" borderId="1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4" fillId="4" borderId="13" xfId="0" applyFont="1" applyFill="1" applyBorder="1"/>
    <xf numFmtId="0" fontId="13" fillId="4" borderId="8" xfId="0" applyFont="1" applyFill="1" applyBorder="1"/>
    <xf numFmtId="0" fontId="2" fillId="4" borderId="13" xfId="0" applyFont="1" applyFill="1" applyBorder="1"/>
    <xf numFmtId="0" fontId="2" fillId="4" borderId="8" xfId="0" applyFont="1" applyFill="1" applyBorder="1"/>
    <xf numFmtId="0" fontId="4" fillId="4" borderId="8" xfId="0" applyFont="1" applyFill="1" applyBorder="1"/>
    <xf numFmtId="0" fontId="3" fillId="3" borderId="11" xfId="0" applyFont="1" applyFill="1" applyBorder="1"/>
    <xf numFmtId="0" fontId="3" fillId="3" borderId="14" xfId="0" applyFont="1" applyFill="1" applyBorder="1"/>
    <xf numFmtId="10" fontId="8" fillId="3" borderId="12" xfId="0" applyNumberFormat="1" applyFont="1" applyFill="1" applyBorder="1"/>
    <xf numFmtId="164" fontId="8" fillId="3" borderId="12" xfId="0" applyNumberFormat="1" applyFont="1" applyFill="1" applyBorder="1"/>
    <xf numFmtId="0" fontId="3" fillId="2" borderId="0" xfId="0" applyFont="1" applyFill="1" applyAlignment="1">
      <alignment horizontal="left"/>
    </xf>
    <xf numFmtId="0" fontId="17" fillId="0" borderId="0" xfId="3" applyAlignment="1">
      <alignment horizontal="right"/>
    </xf>
    <xf numFmtId="10" fontId="4" fillId="2" borderId="0" xfId="0" applyNumberFormat="1" applyFont="1" applyFill="1"/>
    <xf numFmtId="44" fontId="0" fillId="0" borderId="0" xfId="1" applyFont="1"/>
    <xf numFmtId="0" fontId="18" fillId="2" borderId="1" xfId="0" applyFont="1" applyFill="1" applyBorder="1" applyAlignment="1" applyProtection="1">
      <alignment horizontal="center"/>
      <protection locked="0"/>
    </xf>
    <xf numFmtId="0" fontId="11" fillId="2" borderId="12" xfId="0" applyFont="1" applyFill="1" applyBorder="1"/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44" fontId="5" fillId="0" borderId="5" xfId="1" applyFont="1" applyBorder="1"/>
    <xf numFmtId="0" fontId="19" fillId="2" borderId="0" xfId="0" applyFont="1" applyFill="1"/>
    <xf numFmtId="0" fontId="4" fillId="2" borderId="0" xfId="0" applyFont="1" applyFill="1" applyAlignment="1">
      <alignment horizontal="left"/>
    </xf>
    <xf numFmtId="0" fontId="0" fillId="2" borderId="4" xfId="0" applyFill="1" applyBorder="1" applyAlignment="1" applyProtection="1">
      <alignment horizontal="center"/>
      <protection locked="0"/>
    </xf>
    <xf numFmtId="10" fontId="11" fillId="0" borderId="12" xfId="0" applyNumberFormat="1" applyFont="1" applyBorder="1" applyAlignment="1">
      <alignment horizontal="left"/>
    </xf>
    <xf numFmtId="0" fontId="6" fillId="4" borderId="13" xfId="0" applyFont="1" applyFill="1" applyBorder="1"/>
    <xf numFmtId="0" fontId="7" fillId="3" borderId="11" xfId="0" applyFont="1" applyFill="1" applyBorder="1"/>
    <xf numFmtId="0" fontId="7" fillId="3" borderId="14" xfId="0" applyFont="1" applyFill="1" applyBorder="1"/>
    <xf numFmtId="0" fontId="7" fillId="4" borderId="13" xfId="0" applyFont="1" applyFill="1" applyBorder="1"/>
    <xf numFmtId="0" fontId="6" fillId="0" borderId="10" xfId="0" applyFont="1" applyBorder="1"/>
    <xf numFmtId="0" fontId="5" fillId="3" borderId="15" xfId="0" applyFont="1" applyFill="1" applyBorder="1"/>
    <xf numFmtId="0" fontId="0" fillId="3" borderId="15" xfId="0" applyFill="1" applyBorder="1"/>
    <xf numFmtId="0" fontId="12" fillId="3" borderId="15" xfId="0" applyFont="1" applyFill="1" applyBorder="1"/>
    <xf numFmtId="0" fontId="2" fillId="2" borderId="0" xfId="0" applyFont="1" applyFill="1"/>
    <xf numFmtId="0" fontId="4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/>
    </xf>
    <xf numFmtId="0" fontId="4" fillId="4" borderId="0" xfId="0" applyFont="1" applyFill="1"/>
    <xf numFmtId="0" fontId="0" fillId="2" borderId="3" xfId="0" applyFill="1" applyBorder="1" applyAlignment="1" applyProtection="1">
      <alignment horizontal="center"/>
      <protection locked="0"/>
    </xf>
    <xf numFmtId="44" fontId="5" fillId="2" borderId="8" xfId="1" applyFont="1" applyFill="1" applyBorder="1" applyProtection="1"/>
    <xf numFmtId="0" fontId="5" fillId="2" borderId="8" xfId="0" applyFont="1" applyFill="1" applyBorder="1"/>
    <xf numFmtId="0" fontId="0" fillId="2" borderId="10" xfId="0" applyFill="1" applyBorder="1"/>
    <xf numFmtId="0" fontId="5" fillId="2" borderId="12" xfId="0" applyFont="1" applyFill="1" applyBorder="1"/>
    <xf numFmtId="0" fontId="9" fillId="2" borderId="0" xfId="0" applyFont="1" applyFill="1"/>
    <xf numFmtId="17" fontId="20" fillId="2" borderId="0" xfId="0" applyNumberFormat="1" applyFont="1" applyFill="1"/>
    <xf numFmtId="44" fontId="0" fillId="2" borderId="1" xfId="1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Protection="1">
      <protection locked="0"/>
    </xf>
    <xf numFmtId="165" fontId="0" fillId="2" borderId="1" xfId="1" applyNumberFormat="1" applyFont="1" applyFill="1" applyBorder="1" applyAlignment="1" applyProtection="1">
      <alignment vertical="center"/>
      <protection locked="0"/>
    </xf>
    <xf numFmtId="44" fontId="11" fillId="2" borderId="0" xfId="1" applyFont="1" applyFill="1" applyBorder="1" applyProtection="1"/>
    <xf numFmtId="0" fontId="7" fillId="3" borderId="7" xfId="0" applyFont="1" applyFill="1" applyBorder="1"/>
    <xf numFmtId="0" fontId="7" fillId="3" borderId="8" xfId="0" applyFont="1" applyFill="1" applyBorder="1"/>
    <xf numFmtId="0" fontId="17" fillId="2" borderId="0" xfId="3" applyFill="1" applyAlignment="1">
      <alignment horizontal="right"/>
    </xf>
    <xf numFmtId="0" fontId="21" fillId="2" borderId="0" xfId="0" applyFont="1" applyFill="1"/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 vertical="top"/>
    </xf>
    <xf numFmtId="0" fontId="3" fillId="3" borderId="2" xfId="0" applyFont="1" applyFill="1" applyBorder="1"/>
    <xf numFmtId="0" fontId="0" fillId="3" borderId="12" xfId="2" applyNumberFormat="1" applyFont="1" applyFill="1" applyBorder="1" applyAlignment="1" applyProtection="1">
      <alignment horizontal="center"/>
    </xf>
    <xf numFmtId="0" fontId="3" fillId="3" borderId="1" xfId="0" applyFont="1" applyFill="1" applyBorder="1"/>
    <xf numFmtId="0" fontId="8" fillId="2" borderId="1" xfId="0" applyFont="1" applyFill="1" applyBorder="1" applyAlignment="1">
      <alignment horizontal="center"/>
    </xf>
    <xf numFmtId="0" fontId="3" fillId="3" borderId="6" xfId="0" applyFont="1" applyFill="1" applyBorder="1"/>
    <xf numFmtId="0" fontId="26" fillId="2" borderId="0" xfId="0" applyFont="1" applyFill="1"/>
    <xf numFmtId="44" fontId="26" fillId="2" borderId="0" xfId="0" applyNumberFormat="1" applyFont="1" applyFill="1"/>
    <xf numFmtId="44" fontId="27" fillId="2" borderId="0" xfId="0" applyNumberFormat="1" applyFont="1" applyFill="1"/>
    <xf numFmtId="0" fontId="27" fillId="2" borderId="0" xfId="0" applyFont="1" applyFill="1"/>
    <xf numFmtId="44" fontId="27" fillId="2" borderId="0" xfId="1" applyFont="1" applyFill="1" applyProtection="1"/>
    <xf numFmtId="44" fontId="28" fillId="2" borderId="0" xfId="1" applyFont="1" applyFill="1" applyProtection="1"/>
    <xf numFmtId="0" fontId="29" fillId="2" borderId="0" xfId="0" applyFont="1" applyFill="1"/>
    <xf numFmtId="0" fontId="30" fillId="2" borderId="0" xfId="0" applyFont="1" applyFill="1"/>
    <xf numFmtId="0" fontId="2" fillId="6" borderId="0" xfId="0" applyFont="1" applyFill="1"/>
    <xf numFmtId="44" fontId="31" fillId="3" borderId="0" xfId="1" applyFont="1" applyFill="1"/>
    <xf numFmtId="44" fontId="31" fillId="2" borderId="0" xfId="1" applyFont="1" applyFill="1"/>
    <xf numFmtId="44" fontId="31" fillId="2" borderId="0" xfId="0" applyNumberFormat="1" applyFont="1" applyFill="1"/>
    <xf numFmtId="44" fontId="31" fillId="3" borderId="0" xfId="0" applyNumberFormat="1" applyFont="1" applyFill="1"/>
    <xf numFmtId="44" fontId="3" fillId="2" borderId="0" xfId="1" applyFont="1" applyFill="1"/>
    <xf numFmtId="0" fontId="18" fillId="2" borderId="0" xfId="0" applyFont="1" applyFill="1"/>
    <xf numFmtId="8" fontId="32" fillId="2" borderId="0" xfId="0" applyNumberFormat="1" applyFont="1" applyFill="1" applyAlignment="1">
      <alignment horizontal="right" vertical="center"/>
    </xf>
    <xf numFmtId="8" fontId="32" fillId="7" borderId="0" xfId="0" applyNumberFormat="1" applyFont="1" applyFill="1" applyAlignment="1">
      <alignment horizontal="right" vertical="center"/>
    </xf>
    <xf numFmtId="8" fontId="32" fillId="3" borderId="0" xfId="0" applyNumberFormat="1" applyFont="1" applyFill="1" applyAlignment="1">
      <alignment horizontal="right" vertical="center"/>
    </xf>
    <xf numFmtId="8" fontId="32" fillId="2" borderId="0" xfId="0" applyNumberFormat="1" applyFont="1" applyFill="1"/>
    <xf numFmtId="8" fontId="32" fillId="3" borderId="0" xfId="0" applyNumberFormat="1" applyFont="1" applyFill="1"/>
    <xf numFmtId="0" fontId="0" fillId="6" borderId="0" xfId="0" applyFill="1"/>
    <xf numFmtId="0" fontId="0" fillId="8" borderId="0" xfId="0" applyFill="1"/>
    <xf numFmtId="0" fontId="0" fillId="8" borderId="0" xfId="0" applyFill="1" applyAlignment="1">
      <alignment vertical="top"/>
    </xf>
    <xf numFmtId="0" fontId="25" fillId="2" borderId="14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44" fontId="16" fillId="3" borderId="4" xfId="1" applyFont="1" applyFill="1" applyBorder="1" applyAlignment="1" applyProtection="1">
      <alignment horizontal="center" vertical="center"/>
    </xf>
    <xf numFmtId="44" fontId="16" fillId="3" borderId="5" xfId="1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24" fillId="2" borderId="14" xfId="0" applyFont="1" applyFill="1" applyBorder="1" applyAlignment="1">
      <alignment horizontal="right"/>
    </xf>
    <xf numFmtId="0" fontId="24" fillId="2" borderId="0" xfId="0" applyFont="1" applyFill="1" applyAlignment="1">
      <alignment horizontal="right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left" vertical="top" wrapText="1"/>
    </xf>
    <xf numFmtId="44" fontId="16" fillId="3" borderId="4" xfId="1" applyFont="1" applyFill="1" applyBorder="1" applyAlignment="1" applyProtection="1">
      <alignment vertical="center"/>
    </xf>
    <xf numFmtId="44" fontId="16" fillId="3" borderId="5" xfId="1" applyFont="1" applyFill="1" applyBorder="1" applyAlignment="1" applyProtection="1">
      <alignment vertical="center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2" borderId="12" xfId="0" applyFont="1" applyFill="1" applyBorder="1" applyAlignment="1" applyProtection="1">
      <alignment horizontal="center" vertical="top" wrapText="1"/>
      <protection locked="0"/>
    </xf>
    <xf numFmtId="0" fontId="16" fillId="3" borderId="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00"/>
      <color rgb="FF02020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1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6.jpeg"/><Relationship Id="rId5" Type="http://schemas.openxmlformats.org/officeDocument/2006/relationships/image" Target="../media/image17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18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19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20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13" Type="http://schemas.openxmlformats.org/officeDocument/2006/relationships/hyperlink" Target="#'Especialistas Sec. Singulares'!A1"/><Relationship Id="rId18" Type="http://schemas.openxmlformats.org/officeDocument/2006/relationships/image" Target="../media/image29.jpeg"/><Relationship Id="rId26" Type="http://schemas.openxmlformats.org/officeDocument/2006/relationships/hyperlink" Target="#'Profesores EA'!A1"/><Relationship Id="rId3" Type="http://schemas.openxmlformats.org/officeDocument/2006/relationships/hyperlink" Target="#Maestros!A1"/><Relationship Id="rId21" Type="http://schemas.openxmlformats.org/officeDocument/2006/relationships/image" Target="../media/image31.jpeg"/><Relationship Id="rId7" Type="http://schemas.openxmlformats.org/officeDocument/2006/relationships/hyperlink" Target="#'Catedr&#225;ticos Secundaria'!A1"/><Relationship Id="rId12" Type="http://schemas.openxmlformats.org/officeDocument/2006/relationships/image" Target="../media/image26.jpeg"/><Relationship Id="rId17" Type="http://schemas.openxmlformats.org/officeDocument/2006/relationships/hyperlink" Target="#Inspectores!A1"/><Relationship Id="rId25" Type="http://schemas.openxmlformats.org/officeDocument/2006/relationships/image" Target="../media/image33.jpeg"/><Relationship Id="rId2" Type="http://schemas.openxmlformats.org/officeDocument/2006/relationships/image" Target="../media/image21.jpeg"/><Relationship Id="rId16" Type="http://schemas.openxmlformats.org/officeDocument/2006/relationships/image" Target="../media/image28.jpeg"/><Relationship Id="rId20" Type="http://schemas.openxmlformats.org/officeDocument/2006/relationships/hyperlink" Target="#'Profesores Conservatorios'!A1"/><Relationship Id="rId29" Type="http://schemas.openxmlformats.org/officeDocument/2006/relationships/hyperlink" Target="#'Orientaci&#243;n Educativa'!A1"/><Relationship Id="rId1" Type="http://schemas.openxmlformats.org/officeDocument/2006/relationships/hyperlink" Target="#Datos!A1"/><Relationship Id="rId6" Type="http://schemas.openxmlformats.org/officeDocument/2006/relationships/image" Target="../media/image23.jpeg"/><Relationship Id="rId11" Type="http://schemas.openxmlformats.org/officeDocument/2006/relationships/hyperlink" Target="#'Catedr&#225;ticos Conservatorios'!A1"/><Relationship Id="rId24" Type="http://schemas.openxmlformats.org/officeDocument/2006/relationships/hyperlink" Target="#'Profesores EOI'!A1"/><Relationship Id="rId32" Type="http://schemas.openxmlformats.org/officeDocument/2006/relationships/image" Target="../media/image38.png"/><Relationship Id="rId5" Type="http://schemas.openxmlformats.org/officeDocument/2006/relationships/hyperlink" Target="#PTFP!A1"/><Relationship Id="rId15" Type="http://schemas.openxmlformats.org/officeDocument/2006/relationships/hyperlink" Target="#'Catedr&#225;ticos EOI'!A1"/><Relationship Id="rId23" Type="http://schemas.openxmlformats.org/officeDocument/2006/relationships/image" Target="../media/image32.jpeg"/><Relationship Id="rId28" Type="http://schemas.openxmlformats.org/officeDocument/2006/relationships/image" Target="../media/image35.jpeg"/><Relationship Id="rId10" Type="http://schemas.openxmlformats.org/officeDocument/2006/relationships/image" Target="../media/image25.jpeg"/><Relationship Id="rId19" Type="http://schemas.openxmlformats.org/officeDocument/2006/relationships/image" Target="../media/image30.jpeg"/><Relationship Id="rId31" Type="http://schemas.openxmlformats.org/officeDocument/2006/relationships/image" Target="../media/image37.png"/><Relationship Id="rId4" Type="http://schemas.openxmlformats.org/officeDocument/2006/relationships/image" Target="../media/image22.jpeg"/><Relationship Id="rId9" Type="http://schemas.openxmlformats.org/officeDocument/2006/relationships/hyperlink" Target="#'Profesores Secundaria'!A1"/><Relationship Id="rId14" Type="http://schemas.openxmlformats.org/officeDocument/2006/relationships/image" Target="../media/image27.jpeg"/><Relationship Id="rId22" Type="http://schemas.openxmlformats.org/officeDocument/2006/relationships/hyperlink" Target="#'Catedr&#225;ticos EA'!A1"/><Relationship Id="rId27" Type="http://schemas.openxmlformats.org/officeDocument/2006/relationships/image" Target="../media/image34.jpeg"/><Relationship Id="rId30" Type="http://schemas.openxmlformats.org/officeDocument/2006/relationships/image" Target="../media/image3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6.jpeg"/><Relationship Id="rId6" Type="http://schemas.openxmlformats.org/officeDocument/2006/relationships/image" Target="../media/image7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6.jpeg"/><Relationship Id="rId6" Type="http://schemas.openxmlformats.org/officeDocument/2006/relationships/image" Target="../media/image8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9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10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6.jpeg"/><Relationship Id="rId6" Type="http://schemas.openxmlformats.org/officeDocument/2006/relationships/image" Target="../media/image1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6.jpeg"/><Relationship Id="rId6" Type="http://schemas.openxmlformats.org/officeDocument/2006/relationships/image" Target="../media/image12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3.jpe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5" Type="http://schemas.openxmlformats.org/officeDocument/2006/relationships/image" Target="../media/image1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5" name="Imagen 4" descr="Teclado, Escribe, Computador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3143250</xdr:colOff>
      <xdr:row>1</xdr:row>
      <xdr:rowOff>14287</xdr:rowOff>
    </xdr:from>
    <xdr:to>
      <xdr:col>1</xdr:col>
      <xdr:colOff>3395662</xdr:colOff>
      <xdr:row>2</xdr:row>
      <xdr:rowOff>23811</xdr:rowOff>
    </xdr:to>
    <xdr:pic>
      <xdr:nvPicPr>
        <xdr:cNvPr id="8" name="Imagen 7" descr="Casa, Comenzar, Página De Inicio, Icon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519237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95249</xdr:colOff>
      <xdr:row>33</xdr:row>
      <xdr:rowOff>176212</xdr:rowOff>
    </xdr:from>
    <xdr:to>
      <xdr:col>12</xdr:col>
      <xdr:colOff>452436</xdr:colOff>
      <xdr:row>35</xdr:row>
      <xdr:rowOff>161924</xdr:rowOff>
    </xdr:to>
    <xdr:pic>
      <xdr:nvPicPr>
        <xdr:cNvPr id="10" name="Imagen 9" descr="Agencia Tributaria - Aplicaciones en Google Play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1887" y="8048625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809625</xdr:colOff>
      <xdr:row>70</xdr:row>
      <xdr:rowOff>38099</xdr:rowOff>
    </xdr:from>
    <xdr:to>
      <xdr:col>2</xdr:col>
      <xdr:colOff>942325</xdr:colOff>
      <xdr:row>76</xdr:row>
      <xdr:rowOff>176465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09DFC1-BD36-465D-8973-1CDEDCBC3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5" y="15130462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1547812</xdr:colOff>
      <xdr:row>0</xdr:row>
      <xdr:rowOff>0</xdr:rowOff>
    </xdr:from>
    <xdr:to>
      <xdr:col>11</xdr:col>
      <xdr:colOff>941398</xdr:colOff>
      <xdr:row>0</xdr:row>
      <xdr:rowOff>1362075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580767-F37B-95BD-F0C7-43CF203D7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5912" y="0"/>
          <a:ext cx="9285299" cy="1362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5" name="Imagen 4" descr="Teclado, Escribe, Computadora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3143250</xdr:colOff>
      <xdr:row>1</xdr:row>
      <xdr:rowOff>38100</xdr:rowOff>
    </xdr:from>
    <xdr:to>
      <xdr:col>1</xdr:col>
      <xdr:colOff>3395662</xdr:colOff>
      <xdr:row>2</xdr:row>
      <xdr:rowOff>47624</xdr:rowOff>
    </xdr:to>
    <xdr:pic>
      <xdr:nvPicPr>
        <xdr:cNvPr id="9" name="Imagen 8" descr="Casa, Comenzar, Página De Inicio, Icon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543050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109538</xdr:colOff>
      <xdr:row>34</xdr:row>
      <xdr:rowOff>0</xdr:rowOff>
    </xdr:from>
    <xdr:to>
      <xdr:col>12</xdr:col>
      <xdr:colOff>466725</xdr:colOff>
      <xdr:row>35</xdr:row>
      <xdr:rowOff>171449</xdr:rowOff>
    </xdr:to>
    <xdr:pic>
      <xdr:nvPicPr>
        <xdr:cNvPr id="10" name="Imagen 9" descr="Agencia Tributaria - Aplicaciones en Google Play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6" y="8067675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785812</xdr:colOff>
      <xdr:row>70</xdr:row>
      <xdr:rowOff>42569</xdr:rowOff>
    </xdr:from>
    <xdr:to>
      <xdr:col>2</xdr:col>
      <xdr:colOff>918512</xdr:colOff>
      <xdr:row>76</xdr:row>
      <xdr:rowOff>180935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AD9A6AC-3147-4D4C-8956-7E4BA168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3912" y="15144457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1781175</xdr:colOff>
      <xdr:row>0</xdr:row>
      <xdr:rowOff>19051</xdr:rowOff>
    </xdr:from>
    <xdr:to>
      <xdr:col>11</xdr:col>
      <xdr:colOff>42862</xdr:colOff>
      <xdr:row>0</xdr:row>
      <xdr:rowOff>1194923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627B82C-5FBE-4DB8-40FC-A953D74CA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9275" y="19051"/>
          <a:ext cx="8153400" cy="11758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11" name="Imagen 10" descr="Teclado, Escribe, Computadora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76201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3143250</xdr:colOff>
      <xdr:row>1</xdr:row>
      <xdr:rowOff>14287</xdr:rowOff>
    </xdr:from>
    <xdr:to>
      <xdr:col>1</xdr:col>
      <xdr:colOff>3395662</xdr:colOff>
      <xdr:row>2</xdr:row>
      <xdr:rowOff>23811</xdr:rowOff>
    </xdr:to>
    <xdr:pic>
      <xdr:nvPicPr>
        <xdr:cNvPr id="10" name="Imagen 9" descr="Casa, Comenzar, Página De Inicio, Icon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519237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80962</xdr:colOff>
      <xdr:row>33</xdr:row>
      <xdr:rowOff>180975</xdr:rowOff>
    </xdr:from>
    <xdr:to>
      <xdr:col>12</xdr:col>
      <xdr:colOff>438149</xdr:colOff>
      <xdr:row>35</xdr:row>
      <xdr:rowOff>166687</xdr:rowOff>
    </xdr:to>
    <xdr:pic>
      <xdr:nvPicPr>
        <xdr:cNvPr id="13" name="Imagen 12" descr="Agencia Tributaria - Aplicaciones en Google Play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8062913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662214</xdr:colOff>
      <xdr:row>70</xdr:row>
      <xdr:rowOff>49892</xdr:rowOff>
    </xdr:from>
    <xdr:to>
      <xdr:col>2</xdr:col>
      <xdr:colOff>794462</xdr:colOff>
      <xdr:row>77</xdr:row>
      <xdr:rowOff>4335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6DCC12-8E3A-4137-9F21-095E35669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8500" y="15167428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1768928</xdr:colOff>
      <xdr:row>0</xdr:row>
      <xdr:rowOff>0</xdr:rowOff>
    </xdr:from>
    <xdr:to>
      <xdr:col>11</xdr:col>
      <xdr:colOff>863833</xdr:colOff>
      <xdr:row>0</xdr:row>
      <xdr:rowOff>1436358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9EF1E3-A13A-3F9E-8BA6-EE337EDB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5214" y="0"/>
          <a:ext cx="8991833" cy="143635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6" name="Imagen 5" descr="Teclado, Escribe, Computadora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3162300</xdr:colOff>
      <xdr:row>1</xdr:row>
      <xdr:rowOff>38100</xdr:rowOff>
    </xdr:from>
    <xdr:to>
      <xdr:col>1</xdr:col>
      <xdr:colOff>3414712</xdr:colOff>
      <xdr:row>2</xdr:row>
      <xdr:rowOff>47624</xdr:rowOff>
    </xdr:to>
    <xdr:pic>
      <xdr:nvPicPr>
        <xdr:cNvPr id="12" name="Imagen 11" descr="Casa, Comenzar, Página De Inicio, Icono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543050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76200</xdr:colOff>
      <xdr:row>33</xdr:row>
      <xdr:rowOff>157162</xdr:rowOff>
    </xdr:from>
    <xdr:to>
      <xdr:col>12</xdr:col>
      <xdr:colOff>433387</xdr:colOff>
      <xdr:row>35</xdr:row>
      <xdr:rowOff>142874</xdr:rowOff>
    </xdr:to>
    <xdr:pic>
      <xdr:nvPicPr>
        <xdr:cNvPr id="13" name="Imagen 12" descr="Agencia Tributaria - Aplicaciones en Google Play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2838" y="8039100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733425</xdr:colOff>
      <xdr:row>70</xdr:row>
      <xdr:rowOff>23812</xdr:rowOff>
    </xdr:from>
    <xdr:to>
      <xdr:col>2</xdr:col>
      <xdr:colOff>866125</xdr:colOff>
      <xdr:row>76</xdr:row>
      <xdr:rowOff>162178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12ABC1-5E1E-495A-AE40-ED3B1D702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5" y="15125700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1471613</xdr:colOff>
      <xdr:row>0</xdr:row>
      <xdr:rowOff>0</xdr:rowOff>
    </xdr:from>
    <xdr:to>
      <xdr:col>11</xdr:col>
      <xdr:colOff>523876</xdr:colOff>
      <xdr:row>0</xdr:row>
      <xdr:rowOff>1356004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73538-ADFC-16C7-5A5B-134601DC2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9713" y="0"/>
          <a:ext cx="8943976" cy="135600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6" name="Imagen 5" descr="Teclado, Escribe, Computadora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3164945</xdr:colOff>
      <xdr:row>1</xdr:row>
      <xdr:rowOff>26254</xdr:rowOff>
    </xdr:from>
    <xdr:to>
      <xdr:col>1</xdr:col>
      <xdr:colOff>3417357</xdr:colOff>
      <xdr:row>2</xdr:row>
      <xdr:rowOff>35778</xdr:rowOff>
    </xdr:to>
    <xdr:pic>
      <xdr:nvPicPr>
        <xdr:cNvPr id="10" name="Imagen 9" descr="Casa, Comenzar, Página De Inicio, Icon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3045" y="1531204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133350</xdr:colOff>
      <xdr:row>34</xdr:row>
      <xdr:rowOff>0</xdr:rowOff>
    </xdr:from>
    <xdr:to>
      <xdr:col>12</xdr:col>
      <xdr:colOff>490537</xdr:colOff>
      <xdr:row>35</xdr:row>
      <xdr:rowOff>171449</xdr:rowOff>
    </xdr:to>
    <xdr:pic>
      <xdr:nvPicPr>
        <xdr:cNvPr id="11" name="Imagen 10" descr="Agencia Tributaria - Aplicaciones en Google Play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9988" y="8067675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723901</xdr:colOff>
      <xdr:row>70</xdr:row>
      <xdr:rowOff>4762</xdr:rowOff>
    </xdr:from>
    <xdr:to>
      <xdr:col>2</xdr:col>
      <xdr:colOff>856601</xdr:colOff>
      <xdr:row>76</xdr:row>
      <xdr:rowOff>143128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883908-7C55-40C6-940B-124776B07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1" y="15106650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1443038</xdr:colOff>
      <xdr:row>0</xdr:row>
      <xdr:rowOff>0</xdr:rowOff>
    </xdr:from>
    <xdr:to>
      <xdr:col>11</xdr:col>
      <xdr:colOff>926075</xdr:colOff>
      <xdr:row>0</xdr:row>
      <xdr:rowOff>1304464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C3A9420-2F8D-5DF5-E580-96963441F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81138" y="0"/>
          <a:ext cx="9374750" cy="13044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6" name="Imagen 5" descr="Teclado, Escribe, Computadora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3148012</xdr:colOff>
      <xdr:row>1</xdr:row>
      <xdr:rowOff>52388</xdr:rowOff>
    </xdr:from>
    <xdr:to>
      <xdr:col>1</xdr:col>
      <xdr:colOff>3400424</xdr:colOff>
      <xdr:row>2</xdr:row>
      <xdr:rowOff>61912</xdr:rowOff>
    </xdr:to>
    <xdr:pic>
      <xdr:nvPicPr>
        <xdr:cNvPr id="11" name="Imagen 10" descr="Casa, Comenzar, Página De Inicio, Icon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112" y="1557338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80962</xdr:colOff>
      <xdr:row>32</xdr:row>
      <xdr:rowOff>161925</xdr:rowOff>
    </xdr:from>
    <xdr:to>
      <xdr:col>12</xdr:col>
      <xdr:colOff>438149</xdr:colOff>
      <xdr:row>34</xdr:row>
      <xdr:rowOff>147637</xdr:rowOff>
    </xdr:to>
    <xdr:pic>
      <xdr:nvPicPr>
        <xdr:cNvPr id="12" name="Imagen 11" descr="Agencia Tributaria - Aplicaciones en Google Play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9512" y="6176963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723899</xdr:colOff>
      <xdr:row>69</xdr:row>
      <xdr:rowOff>33338</xdr:rowOff>
    </xdr:from>
    <xdr:to>
      <xdr:col>2</xdr:col>
      <xdr:colOff>856599</xdr:colOff>
      <xdr:row>75</xdr:row>
      <xdr:rowOff>171703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184B6F-2984-4109-BF8D-59349D6F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1999" y="13406438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1109663</xdr:colOff>
      <xdr:row>0</xdr:row>
      <xdr:rowOff>0</xdr:rowOff>
    </xdr:from>
    <xdr:to>
      <xdr:col>11</xdr:col>
      <xdr:colOff>847725</xdr:colOff>
      <xdr:row>0</xdr:row>
      <xdr:rowOff>1317587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D237236-0A86-2F90-18AE-9543F17B2C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12564"/>
        <a:stretch>
          <a:fillRect/>
        </a:stretch>
      </xdr:blipFill>
      <xdr:spPr>
        <a:xfrm>
          <a:off x="1147763" y="0"/>
          <a:ext cx="9691687" cy="1317587"/>
        </a:xfrm>
        <a:prstGeom prst="rect">
          <a:avLst/>
        </a:prstGeom>
      </xdr:spPr>
    </xdr:pic>
    <xdr:clientData/>
  </xdr:twoCellAnchor>
  <xdr:twoCellAnchor editAs="oneCell">
    <xdr:from>
      <xdr:col>1</xdr:col>
      <xdr:colOff>3164945</xdr:colOff>
      <xdr:row>1</xdr:row>
      <xdr:rowOff>26254</xdr:rowOff>
    </xdr:from>
    <xdr:to>
      <xdr:col>1</xdr:col>
      <xdr:colOff>3417357</xdr:colOff>
      <xdr:row>2</xdr:row>
      <xdr:rowOff>35778</xdr:rowOff>
    </xdr:to>
    <xdr:pic>
      <xdr:nvPicPr>
        <xdr:cNvPr id="13" name="Imagen 12" descr="Casa, Comenzar, Página De Inicio, Icono">
          <a:extLst>
            <a:ext uri="{FF2B5EF4-FFF2-40B4-BE49-F238E27FC236}">
              <a16:creationId xmlns:a16="http://schemas.microsoft.com/office/drawing/2014/main" id="{8CAAEBDB-9990-448A-8A4C-EAB56CAE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3045" y="1531204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10</xdr:row>
      <xdr:rowOff>120096</xdr:rowOff>
    </xdr:from>
    <xdr:to>
      <xdr:col>2</xdr:col>
      <xdr:colOff>490538</xdr:colOff>
      <xdr:row>15</xdr:row>
      <xdr:rowOff>33680</xdr:rowOff>
    </xdr:to>
    <xdr:pic>
      <xdr:nvPicPr>
        <xdr:cNvPr id="4" name="Imagen 3" descr="Monedas, Divisa, Inversión, Segur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29846"/>
          <a:ext cx="1214438" cy="818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36429</xdr:colOff>
      <xdr:row>16</xdr:row>
      <xdr:rowOff>81462</xdr:rowOff>
    </xdr:from>
    <xdr:to>
      <xdr:col>6</xdr:col>
      <xdr:colOff>471489</xdr:colOff>
      <xdr:row>20</xdr:row>
      <xdr:rowOff>157162</xdr:rowOff>
    </xdr:to>
    <xdr:pic>
      <xdr:nvPicPr>
        <xdr:cNvPr id="5" name="Imagen 4" descr="Profesor, Propiedad, Planta, Y Enseñanz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429" y="2977062"/>
          <a:ext cx="1197060" cy="79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33337</xdr:colOff>
      <xdr:row>10</xdr:row>
      <xdr:rowOff>23813</xdr:rowOff>
    </xdr:from>
    <xdr:to>
      <xdr:col>14</xdr:col>
      <xdr:colOff>536274</xdr:colOff>
      <xdr:row>14</xdr:row>
      <xdr:rowOff>142874</xdr:rowOff>
    </xdr:to>
    <xdr:pic>
      <xdr:nvPicPr>
        <xdr:cNvPr id="6" name="Imagen 5" descr="Pizarron, Puesta En Marcha, Presentació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8337" y="1833563"/>
          <a:ext cx="1264937" cy="842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47626</xdr:colOff>
      <xdr:row>10</xdr:row>
      <xdr:rowOff>90488</xdr:rowOff>
    </xdr:from>
    <xdr:to>
      <xdr:col>6</xdr:col>
      <xdr:colOff>507685</xdr:colOff>
      <xdr:row>15</xdr:row>
      <xdr:rowOff>1</xdr:rowOff>
    </xdr:to>
    <xdr:pic>
      <xdr:nvPicPr>
        <xdr:cNvPr id="7" name="Imagen 6" descr="Tablero, Escuela, Universidad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6" y="1900238"/>
          <a:ext cx="1222059" cy="814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</xdr:colOff>
      <xdr:row>10</xdr:row>
      <xdr:rowOff>85725</xdr:rowOff>
    </xdr:from>
    <xdr:to>
      <xdr:col>10</xdr:col>
      <xdr:colOff>481474</xdr:colOff>
      <xdr:row>14</xdr:row>
      <xdr:rowOff>152398</xdr:rowOff>
    </xdr:to>
    <xdr:pic>
      <xdr:nvPicPr>
        <xdr:cNvPr id="8" name="Imagen 7" descr="Profesor, Profesor De Química, Químic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895475"/>
          <a:ext cx="1186324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52388</xdr:colOff>
      <xdr:row>22</xdr:row>
      <xdr:rowOff>33695</xdr:rowOff>
    </xdr:from>
    <xdr:to>
      <xdr:col>2</xdr:col>
      <xdr:colOff>547642</xdr:colOff>
      <xdr:row>26</xdr:row>
      <xdr:rowOff>147636</xdr:rowOff>
    </xdr:to>
    <xdr:pic>
      <xdr:nvPicPr>
        <xdr:cNvPr id="9" name="Imagen 8" descr="Niños, Escuela, Educación, Instructor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8" y="4015145"/>
          <a:ext cx="1257254" cy="837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33338</xdr:colOff>
      <xdr:row>16</xdr:row>
      <xdr:rowOff>81974</xdr:rowOff>
    </xdr:from>
    <xdr:to>
      <xdr:col>2</xdr:col>
      <xdr:colOff>509589</xdr:colOff>
      <xdr:row>21</xdr:row>
      <xdr:rowOff>1310</xdr:rowOff>
    </xdr:to>
    <xdr:pic>
      <xdr:nvPicPr>
        <xdr:cNvPr id="10" name="Imagen 9" descr="Profesor, Mujer, Facultad, Estudiant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8" y="2977574"/>
          <a:ext cx="1238251" cy="824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42864</xdr:colOff>
      <xdr:row>16</xdr:row>
      <xdr:rowOff>74898</xdr:rowOff>
    </xdr:from>
    <xdr:to>
      <xdr:col>10</xdr:col>
      <xdr:colOff>633414</xdr:colOff>
      <xdr:row>21</xdr:row>
      <xdr:rowOff>25934</xdr:rowOff>
    </xdr:to>
    <xdr:pic>
      <xdr:nvPicPr>
        <xdr:cNvPr id="11" name="Imagen 10" descr="Profesor, Espalda, Demostración, Lección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864" y="2970498"/>
          <a:ext cx="1352550" cy="85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42863</xdr:colOff>
      <xdr:row>28</xdr:row>
      <xdr:rowOff>43962</xdr:rowOff>
    </xdr:from>
    <xdr:to>
      <xdr:col>14</xdr:col>
      <xdr:colOff>600075</xdr:colOff>
      <xdr:row>33</xdr:row>
      <xdr:rowOff>18218</xdr:rowOff>
    </xdr:to>
    <xdr:pic>
      <xdr:nvPicPr>
        <xdr:cNvPr id="12" name="Imagen 11" descr="Consultoría, Edp, Empresario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863" y="4758837"/>
          <a:ext cx="1319212" cy="879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24190</xdr:colOff>
      <xdr:row>28</xdr:row>
      <xdr:rowOff>66675</xdr:rowOff>
    </xdr:from>
    <xdr:to>
      <xdr:col>10</xdr:col>
      <xdr:colOff>655331</xdr:colOff>
      <xdr:row>32</xdr:row>
      <xdr:rowOff>166688</xdr:rowOff>
    </xdr:to>
    <xdr:pic>
      <xdr:nvPicPr>
        <xdr:cNvPr id="14" name="Imagen 13" descr="Hombre, Escribir, Plan, Escritorio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1190" y="4781550"/>
          <a:ext cx="1393141" cy="823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38101</xdr:colOff>
      <xdr:row>22</xdr:row>
      <xdr:rowOff>80963</xdr:rowOff>
    </xdr:from>
    <xdr:to>
      <xdr:col>6</xdr:col>
      <xdr:colOff>523875</xdr:colOff>
      <xdr:row>27</xdr:row>
      <xdr:rowOff>13918</xdr:rowOff>
    </xdr:to>
    <xdr:pic>
      <xdr:nvPicPr>
        <xdr:cNvPr id="15" name="Imagen 14" descr="Ballet, Zapatillas De Ballet, Bailarin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50" r="18258"/>
        <a:stretch/>
      </xdr:blipFill>
      <xdr:spPr bwMode="auto">
        <a:xfrm>
          <a:off x="3467101" y="3709988"/>
          <a:ext cx="1247774" cy="83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30301</xdr:colOff>
      <xdr:row>22</xdr:row>
      <xdr:rowOff>61867</xdr:rowOff>
    </xdr:from>
    <xdr:to>
      <xdr:col>10</xdr:col>
      <xdr:colOff>666750</xdr:colOff>
      <xdr:row>27</xdr:row>
      <xdr:rowOff>11232</xdr:rowOff>
    </xdr:to>
    <xdr:pic>
      <xdr:nvPicPr>
        <xdr:cNvPr id="16" name="Imagen 15" descr="Puesta En Marcha, Negocio, Gente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301" y="3690892"/>
          <a:ext cx="1398449" cy="85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23813</xdr:colOff>
      <xdr:row>16</xdr:row>
      <xdr:rowOff>33338</xdr:rowOff>
    </xdr:from>
    <xdr:to>
      <xdr:col>14</xdr:col>
      <xdr:colOff>571500</xdr:colOff>
      <xdr:row>21</xdr:row>
      <xdr:rowOff>1588</xdr:rowOff>
    </xdr:to>
    <xdr:pic>
      <xdr:nvPicPr>
        <xdr:cNvPr id="17" name="Imagen 16" descr="Desarrollo De Software, Post Invitado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8813" y="2576513"/>
          <a:ext cx="1309687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19051</xdr:colOff>
      <xdr:row>22</xdr:row>
      <xdr:rowOff>38100</xdr:rowOff>
    </xdr:from>
    <xdr:to>
      <xdr:col>14</xdr:col>
      <xdr:colOff>550575</xdr:colOff>
      <xdr:row>26</xdr:row>
      <xdr:rowOff>176211</xdr:rowOff>
    </xdr:to>
    <xdr:pic>
      <xdr:nvPicPr>
        <xdr:cNvPr id="18" name="Imagen 17" descr="Formación, Seminario, Enseñando, Equipo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1" y="3667125"/>
          <a:ext cx="1293524" cy="86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51389</xdr:colOff>
      <xdr:row>28</xdr:row>
      <xdr:rowOff>23813</xdr:rowOff>
    </xdr:from>
    <xdr:to>
      <xdr:col>2</xdr:col>
      <xdr:colOff>582912</xdr:colOff>
      <xdr:row>32</xdr:row>
      <xdr:rowOff>161926</xdr:rowOff>
    </xdr:to>
    <xdr:pic>
      <xdr:nvPicPr>
        <xdr:cNvPr id="19" name="Imagen 18" descr="Salón De Clases, Viejo, Una Habitación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89" y="4738688"/>
          <a:ext cx="1293523" cy="86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28</xdr:row>
      <xdr:rowOff>47627</xdr:rowOff>
    </xdr:from>
    <xdr:to>
      <xdr:col>6</xdr:col>
      <xdr:colOff>548183</xdr:colOff>
      <xdr:row>32</xdr:row>
      <xdr:rowOff>171452</xdr:rowOff>
    </xdr:to>
    <xdr:pic>
      <xdr:nvPicPr>
        <xdr:cNvPr id="20" name="Imagen 19" descr="Estudiante, Mecanografía, Teclado, Texto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2"/>
          <a:ext cx="1272083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506920</xdr:colOff>
      <xdr:row>4</xdr:row>
      <xdr:rowOff>90360</xdr:rowOff>
    </xdr:from>
    <xdr:ext cx="8940204" cy="311496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888967" y="1006226"/>
          <a:ext cx="8940204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Para comunicar</a:t>
          </a:r>
          <a:r>
            <a:rPr lang="es-ES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incidencias y para el s</a:t>
          </a:r>
          <a:r>
            <a:rPr lang="es-E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ervicio</a:t>
          </a:r>
          <a:r>
            <a:rPr lang="es-ES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consulta nóminas para afiliados/as, escribe a ensenanza@fespugtclm.es</a:t>
          </a:r>
          <a:endParaRPr lang="es-E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198873</xdr:colOff>
      <xdr:row>3</xdr:row>
      <xdr:rowOff>288629</xdr:rowOff>
    </xdr:from>
    <xdr:to>
      <xdr:col>1</xdr:col>
      <xdr:colOff>725245</xdr:colOff>
      <xdr:row>7</xdr:row>
      <xdr:rowOff>139853</xdr:rowOff>
    </xdr:to>
    <xdr:pic>
      <xdr:nvPicPr>
        <xdr:cNvPr id="22" name="Imagen 21" descr="Email, Icono, Botón, Web, Internet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73" y="838149"/>
          <a:ext cx="908419" cy="824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754202</xdr:colOff>
      <xdr:row>0</xdr:row>
      <xdr:rowOff>0</xdr:rowOff>
    </xdr:from>
    <xdr:to>
      <xdr:col>11</xdr:col>
      <xdr:colOff>411302</xdr:colOff>
      <xdr:row>4</xdr:row>
      <xdr:rowOff>164520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1181E3-7C45-28A9-663B-8D2B5F154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0343" y="0"/>
          <a:ext cx="6533940" cy="1080386"/>
        </a:xfrm>
        <a:prstGeom prst="rect">
          <a:avLst/>
        </a:prstGeom>
      </xdr:spPr>
    </xdr:pic>
    <xdr:clientData/>
  </xdr:twoCellAnchor>
  <xdr:oneCellAnchor>
    <xdr:from>
      <xdr:col>13</xdr:col>
      <xdr:colOff>130722</xdr:colOff>
      <xdr:row>0</xdr:row>
      <xdr:rowOff>127623</xdr:rowOff>
    </xdr:from>
    <xdr:ext cx="1016689" cy="593304"/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850F1F0B-5576-4BEE-AC4C-EDE8E0FC1CE4}"/>
            </a:ext>
          </a:extLst>
        </xdr:cNvPr>
        <xdr:cNvSpPr/>
      </xdr:nvSpPr>
      <xdr:spPr>
        <a:xfrm>
          <a:off x="9665441" y="127623"/>
          <a:ext cx="1016689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2026</a:t>
          </a:r>
          <a:endParaRPr lang="es-ES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1904999</xdr:colOff>
      <xdr:row>5</xdr:row>
      <xdr:rowOff>52144</xdr:rowOff>
    </xdr:from>
    <xdr:to>
      <xdr:col>10</xdr:col>
      <xdr:colOff>2895599</xdr:colOff>
      <xdr:row>8</xdr:row>
      <xdr:rowOff>170135</xdr:rowOff>
    </xdr:to>
    <xdr:pic>
      <xdr:nvPicPr>
        <xdr:cNvPr id="4" name="Imagen 3" descr="Unión Europea, Brexi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062" y="2752482"/>
          <a:ext cx="990600" cy="66091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5" name="Imagen 4" descr="Teclado, Escribe, Computador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3143250</xdr:colOff>
      <xdr:row>1</xdr:row>
      <xdr:rowOff>38100</xdr:rowOff>
    </xdr:from>
    <xdr:to>
      <xdr:col>1</xdr:col>
      <xdr:colOff>3395662</xdr:colOff>
      <xdr:row>2</xdr:row>
      <xdr:rowOff>47624</xdr:rowOff>
    </xdr:to>
    <xdr:pic>
      <xdr:nvPicPr>
        <xdr:cNvPr id="7" name="Imagen 6" descr="Casa, Comenzar, Página De Inicio, Icon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543050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133349</xdr:colOff>
      <xdr:row>32</xdr:row>
      <xdr:rowOff>180975</xdr:rowOff>
    </xdr:from>
    <xdr:to>
      <xdr:col>12</xdr:col>
      <xdr:colOff>490536</xdr:colOff>
      <xdr:row>34</xdr:row>
      <xdr:rowOff>166687</xdr:rowOff>
    </xdr:to>
    <xdr:pic>
      <xdr:nvPicPr>
        <xdr:cNvPr id="10" name="Imagen 9" descr="Agencia Tributaria - Aplicaciones en Google Play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9987" y="6210300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833438</xdr:colOff>
      <xdr:row>69</xdr:row>
      <xdr:rowOff>42863</xdr:rowOff>
    </xdr:from>
    <xdr:to>
      <xdr:col>2</xdr:col>
      <xdr:colOff>966138</xdr:colOff>
      <xdr:row>76</xdr:row>
      <xdr:rowOff>253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F8B8588-0059-4D61-8604-5FC3AD03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1538" y="13292138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1576387</xdr:colOff>
      <xdr:row>0</xdr:row>
      <xdr:rowOff>28575</xdr:rowOff>
    </xdr:from>
    <xdr:to>
      <xdr:col>11</xdr:col>
      <xdr:colOff>695325</xdr:colOff>
      <xdr:row>0</xdr:row>
      <xdr:rowOff>1376035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1499E36-D01C-6869-98BE-09EE476836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9005"/>
        <a:stretch>
          <a:fillRect/>
        </a:stretch>
      </xdr:blipFill>
      <xdr:spPr>
        <a:xfrm>
          <a:off x="1614487" y="28575"/>
          <a:ext cx="9010651" cy="1347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1904999</xdr:colOff>
      <xdr:row>5</xdr:row>
      <xdr:rowOff>52144</xdr:rowOff>
    </xdr:from>
    <xdr:to>
      <xdr:col>10</xdr:col>
      <xdr:colOff>2895599</xdr:colOff>
      <xdr:row>8</xdr:row>
      <xdr:rowOff>170135</xdr:rowOff>
    </xdr:to>
    <xdr:pic>
      <xdr:nvPicPr>
        <xdr:cNvPr id="4" name="Imagen 3" descr="Unión Europea, Brexi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062" y="2752482"/>
          <a:ext cx="990600" cy="66091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5" name="Imagen 4" descr="Teclado, Escribe, Computador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3143250</xdr:colOff>
      <xdr:row>1</xdr:row>
      <xdr:rowOff>14287</xdr:rowOff>
    </xdr:from>
    <xdr:to>
      <xdr:col>1</xdr:col>
      <xdr:colOff>3395662</xdr:colOff>
      <xdr:row>2</xdr:row>
      <xdr:rowOff>23811</xdr:rowOff>
    </xdr:to>
    <xdr:pic>
      <xdr:nvPicPr>
        <xdr:cNvPr id="7" name="Imagen 6" descr="Casa, Comenzar, Página De Inicio, Icon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519237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123825</xdr:colOff>
      <xdr:row>32</xdr:row>
      <xdr:rowOff>180974</xdr:rowOff>
    </xdr:from>
    <xdr:to>
      <xdr:col>12</xdr:col>
      <xdr:colOff>481012</xdr:colOff>
      <xdr:row>34</xdr:row>
      <xdr:rowOff>166686</xdr:rowOff>
    </xdr:to>
    <xdr:pic>
      <xdr:nvPicPr>
        <xdr:cNvPr id="10" name="Imagen 9" descr="Agencia Tributaria - Aplicaciones en Google Play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0463" y="6205537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704850</xdr:colOff>
      <xdr:row>69</xdr:row>
      <xdr:rowOff>85725</xdr:rowOff>
    </xdr:from>
    <xdr:to>
      <xdr:col>2</xdr:col>
      <xdr:colOff>837550</xdr:colOff>
      <xdr:row>76</xdr:row>
      <xdr:rowOff>43116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87BC21-1C9A-41FA-B78F-AD7843342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2950" y="13330238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1676399</xdr:colOff>
      <xdr:row>0</xdr:row>
      <xdr:rowOff>0</xdr:rowOff>
    </xdr:from>
    <xdr:to>
      <xdr:col>11</xdr:col>
      <xdr:colOff>533399</xdr:colOff>
      <xdr:row>0</xdr:row>
      <xdr:rowOff>1325736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18E4BDB-84D3-E37A-D6D1-9B1B35902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499" y="0"/>
          <a:ext cx="8748713" cy="1325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5" name="Imagen 4" descr="Teclado, Escribe, Computadora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3143250</xdr:colOff>
      <xdr:row>1</xdr:row>
      <xdr:rowOff>14287</xdr:rowOff>
    </xdr:from>
    <xdr:to>
      <xdr:col>1</xdr:col>
      <xdr:colOff>3395662</xdr:colOff>
      <xdr:row>2</xdr:row>
      <xdr:rowOff>23811</xdr:rowOff>
    </xdr:to>
    <xdr:pic>
      <xdr:nvPicPr>
        <xdr:cNvPr id="7" name="Imagen 6" descr="Casa, Comenzar, Página De Inicio, Icon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519237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95250</xdr:colOff>
      <xdr:row>32</xdr:row>
      <xdr:rowOff>180975</xdr:rowOff>
    </xdr:from>
    <xdr:to>
      <xdr:col>12</xdr:col>
      <xdr:colOff>452437</xdr:colOff>
      <xdr:row>34</xdr:row>
      <xdr:rowOff>166687</xdr:rowOff>
    </xdr:to>
    <xdr:pic>
      <xdr:nvPicPr>
        <xdr:cNvPr id="10" name="Imagen 9" descr="Agencia Tributaria - Aplicaciones en Google Play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1888" y="6205538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804863</xdr:colOff>
      <xdr:row>69</xdr:row>
      <xdr:rowOff>38099</xdr:rowOff>
    </xdr:from>
    <xdr:to>
      <xdr:col>2</xdr:col>
      <xdr:colOff>937563</xdr:colOff>
      <xdr:row>75</xdr:row>
      <xdr:rowOff>176465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AE2CC57-27B0-4E70-BEF4-43BE9DBCB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2963" y="13282612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1485900</xdr:colOff>
      <xdr:row>0</xdr:row>
      <xdr:rowOff>0</xdr:rowOff>
    </xdr:from>
    <xdr:to>
      <xdr:col>11</xdr:col>
      <xdr:colOff>421234</xdr:colOff>
      <xdr:row>0</xdr:row>
      <xdr:rowOff>1231170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71C1980-106F-B36C-E4B2-6EEADC48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0"/>
          <a:ext cx="8827047" cy="12311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5" name="Imagen 4" descr="Teclado, Escribe, Computadora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3143250</xdr:colOff>
      <xdr:row>1</xdr:row>
      <xdr:rowOff>38100</xdr:rowOff>
    </xdr:from>
    <xdr:to>
      <xdr:col>1</xdr:col>
      <xdr:colOff>3395662</xdr:colOff>
      <xdr:row>2</xdr:row>
      <xdr:rowOff>47624</xdr:rowOff>
    </xdr:to>
    <xdr:pic>
      <xdr:nvPicPr>
        <xdr:cNvPr id="7" name="Imagen 6" descr="Casa, Comenzar, Página De Inicio, Icon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543050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123825</xdr:colOff>
      <xdr:row>32</xdr:row>
      <xdr:rowOff>176213</xdr:rowOff>
    </xdr:from>
    <xdr:to>
      <xdr:col>12</xdr:col>
      <xdr:colOff>481012</xdr:colOff>
      <xdr:row>34</xdr:row>
      <xdr:rowOff>161925</xdr:rowOff>
    </xdr:to>
    <xdr:pic>
      <xdr:nvPicPr>
        <xdr:cNvPr id="10" name="Imagen 9" descr="Agencia Tributaria - Aplicaciones en Google Play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0463" y="6205538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933450</xdr:colOff>
      <xdr:row>69</xdr:row>
      <xdr:rowOff>38101</xdr:rowOff>
    </xdr:from>
    <xdr:to>
      <xdr:col>2</xdr:col>
      <xdr:colOff>1066150</xdr:colOff>
      <xdr:row>75</xdr:row>
      <xdr:rowOff>176466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A534B58-BAC9-4A9A-8616-658ACED1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50" y="13287376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1295400</xdr:colOff>
      <xdr:row>0</xdr:row>
      <xdr:rowOff>0</xdr:rowOff>
    </xdr:from>
    <xdr:to>
      <xdr:col>12</xdr:col>
      <xdr:colOff>87892</xdr:colOff>
      <xdr:row>0</xdr:row>
      <xdr:rowOff>1483497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04696BE-07AF-7D52-C2FE-761F5157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3500" y="0"/>
          <a:ext cx="9951030" cy="14834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1904999</xdr:colOff>
      <xdr:row>5</xdr:row>
      <xdr:rowOff>52144</xdr:rowOff>
    </xdr:from>
    <xdr:to>
      <xdr:col>10</xdr:col>
      <xdr:colOff>2895599</xdr:colOff>
      <xdr:row>8</xdr:row>
      <xdr:rowOff>170135</xdr:rowOff>
    </xdr:to>
    <xdr:pic>
      <xdr:nvPicPr>
        <xdr:cNvPr id="4" name="Imagen 3" descr="Unión Europea, Brexit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062" y="2752482"/>
          <a:ext cx="990600" cy="66091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5" name="Imagen 4" descr="Teclado, Escribe, Computador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3143250</xdr:colOff>
      <xdr:row>1</xdr:row>
      <xdr:rowOff>14287</xdr:rowOff>
    </xdr:from>
    <xdr:to>
      <xdr:col>1</xdr:col>
      <xdr:colOff>3395662</xdr:colOff>
      <xdr:row>2</xdr:row>
      <xdr:rowOff>23811</xdr:rowOff>
    </xdr:to>
    <xdr:pic>
      <xdr:nvPicPr>
        <xdr:cNvPr id="8" name="Imagen 7" descr="Casa, Comenzar, Página De Inicio, Icon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519237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138112</xdr:colOff>
      <xdr:row>33</xdr:row>
      <xdr:rowOff>0</xdr:rowOff>
    </xdr:from>
    <xdr:to>
      <xdr:col>12</xdr:col>
      <xdr:colOff>495299</xdr:colOff>
      <xdr:row>34</xdr:row>
      <xdr:rowOff>171449</xdr:rowOff>
    </xdr:to>
    <xdr:pic>
      <xdr:nvPicPr>
        <xdr:cNvPr id="10" name="Imagen 9" descr="Agencia Tributaria - Aplicaciones en Google Play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210300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895350</xdr:colOff>
      <xdr:row>69</xdr:row>
      <xdr:rowOff>61913</xdr:rowOff>
    </xdr:from>
    <xdr:to>
      <xdr:col>2</xdr:col>
      <xdr:colOff>1028050</xdr:colOff>
      <xdr:row>76</xdr:row>
      <xdr:rowOff>19304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13C36A-1203-421B-AE80-3B3A2E2D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3450" y="13306426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1447800</xdr:colOff>
      <xdr:row>0</xdr:row>
      <xdr:rowOff>0</xdr:rowOff>
    </xdr:from>
    <xdr:to>
      <xdr:col>11</xdr:col>
      <xdr:colOff>1092788</xdr:colOff>
      <xdr:row>0</xdr:row>
      <xdr:rowOff>1345741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30F4327-D1F6-DF02-BC52-C1E0C639A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85900" y="0"/>
          <a:ext cx="9536701" cy="13457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2286000</xdr:colOff>
      <xdr:row>0</xdr:row>
      <xdr:rowOff>121738</xdr:rowOff>
    </xdr:from>
    <xdr:to>
      <xdr:col>4</xdr:col>
      <xdr:colOff>2538412</xdr:colOff>
      <xdr:row>1</xdr:row>
      <xdr:rowOff>53764</xdr:rowOff>
    </xdr:to>
    <xdr:pic>
      <xdr:nvPicPr>
        <xdr:cNvPr id="6" name="Imagen 5" descr="Casa, Comenzar, Página De Inicio, Icon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6059" y="121738"/>
          <a:ext cx="252412" cy="251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153228</xdr:colOff>
      <xdr:row>0</xdr:row>
      <xdr:rowOff>33130</xdr:rowOff>
    </xdr:from>
    <xdr:to>
      <xdr:col>2</xdr:col>
      <xdr:colOff>202681</xdr:colOff>
      <xdr:row>1</xdr:row>
      <xdr:rowOff>943227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9CD4A1-9DAF-428B-5CDF-F8AE1ED63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228" y="33130"/>
          <a:ext cx="4124496" cy="12289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1904999</xdr:colOff>
      <xdr:row>5</xdr:row>
      <xdr:rowOff>52144</xdr:rowOff>
    </xdr:from>
    <xdr:to>
      <xdr:col>10</xdr:col>
      <xdr:colOff>2895599</xdr:colOff>
      <xdr:row>8</xdr:row>
      <xdr:rowOff>170135</xdr:rowOff>
    </xdr:to>
    <xdr:pic>
      <xdr:nvPicPr>
        <xdr:cNvPr id="5" name="Imagen 4" descr="Unión Europea, Brexit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062" y="2752482"/>
          <a:ext cx="990600" cy="66091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6" name="Imagen 5" descr="Teclado, Escribe, Computadora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42863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3143250</xdr:colOff>
      <xdr:row>1</xdr:row>
      <xdr:rowOff>38100</xdr:rowOff>
    </xdr:from>
    <xdr:to>
      <xdr:col>1</xdr:col>
      <xdr:colOff>3395662</xdr:colOff>
      <xdr:row>2</xdr:row>
      <xdr:rowOff>47624</xdr:rowOff>
    </xdr:to>
    <xdr:pic>
      <xdr:nvPicPr>
        <xdr:cNvPr id="11" name="Imagen 10" descr="Casa, Comenzar, Página De Inicio, Icon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543050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161925</xdr:colOff>
      <xdr:row>32</xdr:row>
      <xdr:rowOff>171450</xdr:rowOff>
    </xdr:from>
    <xdr:to>
      <xdr:col>12</xdr:col>
      <xdr:colOff>519112</xdr:colOff>
      <xdr:row>34</xdr:row>
      <xdr:rowOff>157162</xdr:rowOff>
    </xdr:to>
    <xdr:pic>
      <xdr:nvPicPr>
        <xdr:cNvPr id="13" name="Imagen 12" descr="Agencia Tributaria - Aplicaciones en Google Play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8563" y="6200775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804862</xdr:colOff>
      <xdr:row>69</xdr:row>
      <xdr:rowOff>18758</xdr:rowOff>
    </xdr:from>
    <xdr:to>
      <xdr:col>2</xdr:col>
      <xdr:colOff>937562</xdr:colOff>
      <xdr:row>75</xdr:row>
      <xdr:rowOff>157123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273005-E8E6-4161-B6BD-C9D4EA2DF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2962" y="13268033"/>
          <a:ext cx="4123675" cy="1228978"/>
        </a:xfrm>
        <a:prstGeom prst="rect">
          <a:avLst/>
        </a:prstGeom>
      </xdr:spPr>
    </xdr:pic>
    <xdr:clientData/>
  </xdr:twoCellAnchor>
  <xdr:twoCellAnchor editAs="oneCell">
    <xdr:from>
      <xdr:col>1</xdr:col>
      <xdr:colOff>1624012</xdr:colOff>
      <xdr:row>0</xdr:row>
      <xdr:rowOff>109538</xdr:rowOff>
    </xdr:from>
    <xdr:to>
      <xdr:col>11</xdr:col>
      <xdr:colOff>754642</xdr:colOff>
      <xdr:row>0</xdr:row>
      <xdr:rowOff>1320999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1B8FE70-B99C-46CD-86C7-CAF2232E5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62112" y="109538"/>
          <a:ext cx="9022343" cy="12114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1400175</xdr:rowOff>
    </xdr:from>
    <xdr:to>
      <xdr:col>1</xdr:col>
      <xdr:colOff>1115174</xdr:colOff>
      <xdr:row>2</xdr:row>
      <xdr:rowOff>443733</xdr:rowOff>
    </xdr:to>
    <xdr:pic>
      <xdr:nvPicPr>
        <xdr:cNvPr id="9" name="Imagen 8" descr="Teclado, Escribe, Computadora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100013" y="1400175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10</xdr:col>
      <xdr:colOff>1928812</xdr:colOff>
      <xdr:row>5</xdr:row>
      <xdr:rowOff>66675</xdr:rowOff>
    </xdr:from>
    <xdr:to>
      <xdr:col>10</xdr:col>
      <xdr:colOff>2919412</xdr:colOff>
      <xdr:row>9</xdr:row>
      <xdr:rowOff>3691</xdr:rowOff>
    </xdr:to>
    <xdr:pic>
      <xdr:nvPicPr>
        <xdr:cNvPr id="8" name="Imagen 7" descr="Unión Europea, Brexit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0162" y="2767013"/>
          <a:ext cx="990600" cy="66091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4763</xdr:colOff>
      <xdr:row>0</xdr:row>
      <xdr:rowOff>1390651</xdr:rowOff>
    </xdr:from>
    <xdr:to>
      <xdr:col>1</xdr:col>
      <xdr:colOff>1053262</xdr:colOff>
      <xdr:row>2</xdr:row>
      <xdr:rowOff>434209</xdr:rowOff>
    </xdr:to>
    <xdr:pic>
      <xdr:nvPicPr>
        <xdr:cNvPr id="10" name="Imagen 9" descr="Teclado, Escribe, Computadora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9" b="-1026"/>
        <a:stretch/>
      </xdr:blipFill>
      <xdr:spPr bwMode="auto">
        <a:xfrm>
          <a:off x="76201" y="1390651"/>
          <a:ext cx="1048499" cy="79139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3119437</xdr:colOff>
      <xdr:row>1</xdr:row>
      <xdr:rowOff>28575</xdr:rowOff>
    </xdr:from>
    <xdr:to>
      <xdr:col>1</xdr:col>
      <xdr:colOff>3371849</xdr:colOff>
      <xdr:row>2</xdr:row>
      <xdr:rowOff>38099</xdr:rowOff>
    </xdr:to>
    <xdr:pic>
      <xdr:nvPicPr>
        <xdr:cNvPr id="13" name="Imagen 12" descr="Casa, Comenzar, Página De Inicio, Icon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533525"/>
          <a:ext cx="252412" cy="25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147637</xdr:colOff>
      <xdr:row>34</xdr:row>
      <xdr:rowOff>9525</xdr:rowOff>
    </xdr:from>
    <xdr:to>
      <xdr:col>12</xdr:col>
      <xdr:colOff>504824</xdr:colOff>
      <xdr:row>35</xdr:row>
      <xdr:rowOff>180974</xdr:rowOff>
    </xdr:to>
    <xdr:pic>
      <xdr:nvPicPr>
        <xdr:cNvPr id="14" name="Imagen 13" descr="Agencia Tributaria - Aplicaciones en Google Play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7612" y="8077200"/>
          <a:ext cx="357187" cy="35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1603923</xdr:colOff>
      <xdr:row>0</xdr:row>
      <xdr:rowOff>0</xdr:rowOff>
    </xdr:from>
    <xdr:to>
      <xdr:col>12</xdr:col>
      <xdr:colOff>312027</xdr:colOff>
      <xdr:row>0</xdr:row>
      <xdr:rowOff>1454780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0F41C8-7034-7F7B-15EB-F1AD11E04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6768" y="0"/>
          <a:ext cx="9902716" cy="1454780"/>
        </a:xfrm>
        <a:prstGeom prst="rect">
          <a:avLst/>
        </a:prstGeom>
      </xdr:spPr>
    </xdr:pic>
    <xdr:clientData/>
  </xdr:twoCellAnchor>
  <xdr:twoCellAnchor editAs="oneCell">
    <xdr:from>
      <xdr:col>1</xdr:col>
      <xdr:colOff>912593</xdr:colOff>
      <xdr:row>71</xdr:row>
      <xdr:rowOff>21440</xdr:rowOff>
    </xdr:from>
    <xdr:to>
      <xdr:col>2</xdr:col>
      <xdr:colOff>1045621</xdr:colOff>
      <xdr:row>77</xdr:row>
      <xdr:rowOff>161064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F82350-2701-46A4-89F9-E1A8F489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5438" y="14987733"/>
          <a:ext cx="4123675" cy="1228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8"/>
  <sheetViews>
    <sheetView showRowColHeaders="0" zoomScaleNormal="100" workbookViewId="0">
      <selection activeCell="B2" sqref="B2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L4-SUM(L28:L32)</f>
        <v>2213.3499182237983</v>
      </c>
      <c r="M3" s="73">
        <f>M4-SUM(M28:M32)</f>
        <v>2007.9622163305426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SUM(L6:L26)</f>
        <v>3023.81</v>
      </c>
      <c r="M4" s="157">
        <f>SUM(M6:M26)</f>
        <v>2492.62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ROUND((C4/100)*Datos!E4,2)</f>
        <v>1387.24</v>
      </c>
      <c r="M6" s="52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ROUND(($C$4/100)*Datos!E9,2)</f>
        <v>729.14</v>
      </c>
      <c r="M7" s="53">
        <f>L7</f>
        <v>729.14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ROUND(($C$4/100)*Datos!E13,2)</f>
        <v>907.43</v>
      </c>
      <c r="M8" s="53">
        <f>L8</f>
        <v>907.43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29" t="s">
        <v>278</v>
      </c>
      <c r="C11" s="18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IF(C13=D14,ROUND(C4*MAX(E28:E33,G28:G33)/100,2),0)</f>
        <v>0</v>
      </c>
      <c r="M11" s="53">
        <f t="shared" ref="M11:M26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IF(C13=D16,ROUND(C4*MAX(F28:F32,H28:H32)/100,2),0)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65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IF(C13=D15,ROUND(C4*MAX(F28:F32,H28:H32)/100,2),0)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65" thickBot="1" x14ac:dyDescent="0.5">
      <c r="A14" s="4"/>
      <c r="B14" s="129" t="s">
        <v>124</v>
      </c>
      <c r="C14" s="18"/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IF(C13=D17,ROUND(Datos!E77*'Orientación Educativa'!C4/100,2),0)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65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tr">
        <f>B16</f>
        <v>Jefatura de Residencia Tipo A</v>
      </c>
      <c r="K15" s="61"/>
      <c r="L15" s="53">
        <f>IF(C16="Sí",ROUND(Datos!E85*'Orientación Educativa'!C4/100,2),0)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65" thickBot="1" x14ac:dyDescent="0.5">
      <c r="A16" s="4"/>
      <c r="B16" s="129" t="s">
        <v>45</v>
      </c>
      <c r="C16" s="18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tr">
        <f>B17</f>
        <v>Jefatura de Residencia Tipo B</v>
      </c>
      <c r="K16" s="61"/>
      <c r="L16" s="53">
        <f>IF(C17="Sí",ROUND(Datos!E86*'Orientación Educativa'!C4/100,2),0)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65" thickBot="1" x14ac:dyDescent="0.5">
      <c r="A17" s="4"/>
      <c r="B17" s="129" t="s">
        <v>46</v>
      </c>
      <c r="C17" s="18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 t="str">
        <f>B18</f>
        <v>Jefatura de Residencia de CEE</v>
      </c>
      <c r="K17" s="61"/>
      <c r="L17" s="53">
        <f>IF(C18="Sí",ROUND(Datos!E87*'Orientación Educativa'!C4/100,2),0)</f>
        <v>0</v>
      </c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65" thickBot="1" x14ac:dyDescent="0.5">
      <c r="A18" s="4"/>
      <c r="B18" s="129" t="s">
        <v>99</v>
      </c>
      <c r="C18" s="18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 t="str">
        <f>B19</f>
        <v>Coordinación Equipos de Atención Hospitalaria y Domiciliaria</v>
      </c>
      <c r="K18" s="61"/>
      <c r="L18" s="53">
        <f>IF(C19="Sí",ROUND(Datos!E89*'Orientación Educativa'!C4/100,2),0)</f>
        <v>0</v>
      </c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65" thickBot="1" x14ac:dyDescent="0.5">
      <c r="A19" s="4"/>
      <c r="B19" s="129" t="s">
        <v>97</v>
      </c>
      <c r="C19" s="18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 t="str">
        <f>B20</f>
        <v>Coordinación Programa Recuperación Pueblos Abandonados</v>
      </c>
      <c r="K19" s="61"/>
      <c r="L19" s="53">
        <f>IF(C20="Sí",ROUND(Datos!E90*'Orientación Educativa'!C4/100,2),0)</f>
        <v>0</v>
      </c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65" thickBot="1" x14ac:dyDescent="0.5">
      <c r="A20" s="4"/>
      <c r="B20" s="129" t="s">
        <v>98</v>
      </c>
      <c r="C20" s="18" t="s">
        <v>138</v>
      </c>
      <c r="D20" s="4" t="s">
        <v>277</v>
      </c>
      <c r="E20" s="4"/>
      <c r="F20" s="4"/>
      <c r="G20" s="4"/>
      <c r="H20" s="4"/>
      <c r="I20" s="4"/>
      <c r="J20" s="36" t="s">
        <v>48</v>
      </c>
      <c r="K20" s="61"/>
      <c r="L20" s="53">
        <f>IF(C15="Sí",ROUND(Datos!E91*'Orientación Educativa'!C4/100,2),0)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65" thickBot="1" x14ac:dyDescent="0.5">
      <c r="A21" s="4"/>
      <c r="B21" s="129" t="s">
        <v>49</v>
      </c>
      <c r="C21" s="18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IF(C22="Sí",ROUND(Datos!E97*'Orientación Educativa'!C4/100,2),0)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65" thickBot="1" x14ac:dyDescent="0.5">
      <c r="A22" s="4"/>
      <c r="B22" s="129" t="s">
        <v>269</v>
      </c>
      <c r="C22" s="18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IF(C24="Sí",ROUND(C4*SUM(D24:D26)/100,2),0)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65" thickBot="1" x14ac:dyDescent="0.5">
      <c r="A23" s="4"/>
      <c r="B23" s="129" t="s">
        <v>334</v>
      </c>
      <c r="C23" s="18" t="s">
        <v>138</v>
      </c>
      <c r="D23" s="4"/>
      <c r="E23" s="4"/>
      <c r="F23" s="4"/>
      <c r="G23" s="4"/>
      <c r="H23" s="4"/>
      <c r="I23" s="4"/>
      <c r="J23" s="36" t="s">
        <v>335</v>
      </c>
      <c r="K23" s="61"/>
      <c r="L23" s="53">
        <f>IF(C23="Sí",ROUND(Datos!E96*C4/100,2),0)</f>
        <v>0</v>
      </c>
      <c r="M23" s="53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65" thickBot="1" x14ac:dyDescent="0.5">
      <c r="A24" s="4"/>
      <c r="B24" s="129" t="s">
        <v>144</v>
      </c>
      <c r="C24" s="18" t="s">
        <v>138</v>
      </c>
      <c r="D24" s="4">
        <f>IF(C24="No",0,Datos!E102)</f>
        <v>0</v>
      </c>
      <c r="E24" s="4"/>
      <c r="F24" s="4"/>
      <c r="G24" s="4"/>
      <c r="H24" s="4"/>
      <c r="I24" s="4"/>
      <c r="J24" s="36" t="s">
        <v>153</v>
      </c>
      <c r="K24" s="61"/>
      <c r="L24" s="53">
        <f>IF(C27="Sí",ROUND(C4*MIN(D28:D37)/100,2),0)</f>
        <v>0</v>
      </c>
      <c r="M24"/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65" thickBot="1" x14ac:dyDescent="0.5">
      <c r="A25" s="4"/>
      <c r="B25" s="130" t="s">
        <v>142</v>
      </c>
      <c r="C25" s="18" t="s">
        <v>138</v>
      </c>
      <c r="D25" s="4">
        <f>IF(AND(C24="Sí",C25="Sí"),Datos!E103,0)</f>
        <v>0</v>
      </c>
      <c r="E25" s="4"/>
      <c r="F25" s="4"/>
      <c r="G25" s="4"/>
      <c r="H25" s="4"/>
      <c r="I25" s="4"/>
      <c r="J25" s="36" t="s">
        <v>273</v>
      </c>
      <c r="K25" s="62"/>
      <c r="L25" s="53">
        <f>IF(D21&gt;0,ROUND(C4*MAX(E28:E34,G28:G34)*D21/100,2),0)</f>
        <v>0</v>
      </c>
      <c r="M25" s="53">
        <f>L25</f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65" thickBot="1" x14ac:dyDescent="0.5">
      <c r="A26" s="4"/>
      <c r="B26" s="130" t="s">
        <v>143</v>
      </c>
      <c r="C26" s="18">
        <v>0</v>
      </c>
      <c r="D26" s="4">
        <f>IF(C24="Sí",C26*Datos!E104,0)</f>
        <v>0</v>
      </c>
      <c r="E26" s="4"/>
      <c r="F26" s="4"/>
      <c r="G26" s="4"/>
      <c r="H26" s="4"/>
      <c r="I26" s="4"/>
      <c r="J26" s="54" t="s">
        <v>283</v>
      </c>
      <c r="K26" s="63"/>
      <c r="L26" s="55">
        <f>IF(C21="Sí",ROUND(Datos!E92*C4/100,2),0)</f>
        <v>0</v>
      </c>
      <c r="M26" s="55">
        <f t="shared" si="1"/>
        <v>0</v>
      </c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x14ac:dyDescent="0.45">
      <c r="A27" s="4"/>
      <c r="B27" s="105" t="s">
        <v>145</v>
      </c>
      <c r="C27" s="69" t="s">
        <v>138</v>
      </c>
      <c r="D27" s="4"/>
      <c r="E27" s="4" t="s">
        <v>125</v>
      </c>
      <c r="F27" s="4" t="s">
        <v>154</v>
      </c>
      <c r="G27" s="4" t="s">
        <v>280</v>
      </c>
      <c r="H27" s="4" t="s">
        <v>281</v>
      </c>
      <c r="I27" s="4"/>
      <c r="J27" s="57" t="s">
        <v>162</v>
      </c>
      <c r="K27" s="58"/>
      <c r="L27" s="59"/>
      <c r="M27" s="58"/>
      <c r="Q27" s="22"/>
      <c r="R27" s="2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x14ac:dyDescent="0.45">
      <c r="A28" s="4"/>
      <c r="B28" s="107" t="s">
        <v>146</v>
      </c>
      <c r="C28" s="69">
        <v>0</v>
      </c>
      <c r="D28" s="4">
        <f>IF($C$28&lt;=50,Datos!E107,"")</f>
        <v>17.649999999999999</v>
      </c>
      <c r="E28" s="4" t="str">
        <f>IF(AND(C11=D5,$D12=$D$14,$C$14=F13),Datos!E64,"")</f>
        <v/>
      </c>
      <c r="F28" s="4" t="str">
        <f>IF(AND(OR($C$13=$D$15,$C$13=$D$16),$C$14=F13,C11=D5),Datos!E68,"")</f>
        <v/>
      </c>
      <c r="G28" s="4" t="str">
        <f>IF(AND(C11=D6,$D12=$D$14,$C$14=F13),Datos!E32,"")</f>
        <v/>
      </c>
      <c r="H28" s="4" t="str">
        <f>IF(AND(OR($C$13=$D$15,$C$13=$D$16),$C$14=F13,C11=D6),Datos!E38,"")</f>
        <v/>
      </c>
      <c r="I28" s="4"/>
      <c r="J28" s="7" t="s">
        <v>231</v>
      </c>
      <c r="K28" s="40"/>
      <c r="L28" s="20">
        <f>IF(OR(C30="Funcionario/a de carrera",C30="Funcionario/a en prácticas"),51.68,0)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59" t="s">
        <v>233</v>
      </c>
      <c r="C29" s="160"/>
      <c r="D29" s="4">
        <f>IF($C$28&lt;=100,Datos!E108,"")</f>
        <v>35.32</v>
      </c>
      <c r="E29" s="4" t="str">
        <f>IF(AND(C11=D5,$D$12=$D$14,$C$14=F14),Datos!E65,"")</f>
        <v/>
      </c>
      <c r="F29" s="4" t="str">
        <f>IF(AND(OR($C$13=$D$15,$C$13=$D$16),$C$14=F14,C11=D5),Datos!E69,"")</f>
        <v/>
      </c>
      <c r="G29" s="4" t="str">
        <f>IF(AND(C11=D6,$D12=$D$14,$C$14=F14),Datos!E33,"")</f>
        <v/>
      </c>
      <c r="H29" s="4" t="str">
        <f>IF(AND(OR($C$13=$D$15,$C$13=$D$16),$C$14=F14,C11=D6),Datos!E39,"")</f>
        <v/>
      </c>
      <c r="I29" s="4"/>
      <c r="J29" s="7" t="s">
        <v>232</v>
      </c>
      <c r="K29" s="40"/>
      <c r="L29" s="20">
        <f>IF(AND(L28&gt;0,C31&lt;2011,C31&gt;0),118.04,0)</f>
        <v>0</v>
      </c>
      <c r="M29" s="49">
        <f>L29</f>
        <v>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4.65" thickBot="1" x14ac:dyDescent="0.5">
      <c r="A30" s="4"/>
      <c r="B30" s="129" t="s">
        <v>158</v>
      </c>
      <c r="C30" s="11" t="s">
        <v>161</v>
      </c>
      <c r="D30" s="4">
        <f>IF($C$28&lt;=150,Datos!E109,"")</f>
        <v>52.97</v>
      </c>
      <c r="E30" s="4" t="str">
        <f>IF(AND(C11=D5,$D$12=$D$14,$C$14=F15),Datos!E66,"")</f>
        <v/>
      </c>
      <c r="F30" s="4" t="str">
        <f>IF(AND(OR($C$13=$D$15,$C$13=$D$16),$C$14=F15,C11=D5),Datos!E70,"")</f>
        <v/>
      </c>
      <c r="G30" s="4" t="str">
        <f>IF(AND(C11=D6,$D12=$D$14,$C$14=F15),Datos!E34,"")</f>
        <v/>
      </c>
      <c r="H30" s="4" t="str">
        <f>IF(AND(OR($C$13=$D$15,$C$13=$D$16),$C$14=F15,C11=D6),Datos!E40,"")</f>
        <v/>
      </c>
      <c r="I30" s="4"/>
      <c r="J30" s="7" t="s">
        <v>163</v>
      </c>
      <c r="K30" s="40"/>
      <c r="L30" s="20">
        <f>IF(OR(C30=A37,AND(C30=A36,C31&gt;=2011)),(L4+(M4/6))*L69,0)</f>
        <v>0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29" t="str">
        <f>IF(C30=A36,"¿En qué año aprobaste la oposición?","")</f>
        <v/>
      </c>
      <c r="C31" s="18"/>
      <c r="D31" s="4">
        <f>IF($C$28&lt;=200,Datos!E110,"")</f>
        <v>70.64</v>
      </c>
      <c r="E31" s="4" t="str">
        <f>IF(AND(C11=D5,$D$12=$D$14,$C$14=F16),Datos!E67,"")</f>
        <v/>
      </c>
      <c r="F31" s="4" t="str">
        <f>IF(AND(OR($C$13=$D$15,$C$13=$D$16),$C$14=F16,C11=D5),Datos!E71,"")</f>
        <v/>
      </c>
      <c r="G31" s="4" t="str">
        <f>IF(AND(C11=D6,$D12=$D$14,$C$14=F13),Datos!E35,"")</f>
        <v/>
      </c>
      <c r="H31" s="4" t="str">
        <f>IF(AND(OR($C$13=$D$15,$C$13=$D$16),$C$14=F16,C11=D6),Datos!E41,"")</f>
        <v/>
      </c>
      <c r="I31" s="4"/>
      <c r="J31" s="7" t="s">
        <v>164</v>
      </c>
      <c r="K31" s="40"/>
      <c r="L31" s="46">
        <f>IF(C30=A38,L4*0.0647+M4*0.0647/6,0)</f>
        <v>222.51925933333331</v>
      </c>
      <c r="M31" s="9">
        <v>0</v>
      </c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71" t="s">
        <v>169</v>
      </c>
      <c r="C32" s="172"/>
      <c r="D32" s="4">
        <f>IF($C$28&lt;=250,Datos!E111,"")</f>
        <v>88.29</v>
      </c>
      <c r="E32" s="4" t="str">
        <f>IF(AND($C$13=$D$14,$C$15&lt;&gt;"",$C$15&lt;&gt;$G$13,$C$14=F17),Datos!E36,"")</f>
        <v/>
      </c>
      <c r="F32" s="4"/>
      <c r="G32" s="4" t="str">
        <f>IF(AND(C11=D6,$D12=$D$14,$C$14=F16),Datos!E36,"")</f>
        <v/>
      </c>
      <c r="H32" s="4" t="str">
        <f>IF(AND(OR($C$13=$D$15,$C$13=$D$16),$C$14=F17,C11=D6),Datos!E42,"")</f>
        <v/>
      </c>
      <c r="I32" s="4"/>
      <c r="J32" s="14" t="s">
        <v>165</v>
      </c>
      <c r="K32" s="48">
        <f>L62</f>
        <v>0.19443709176266633</v>
      </c>
      <c r="L32" s="47">
        <f>L4*K32</f>
        <v>587.94082244286801</v>
      </c>
      <c r="M32" s="50">
        <f>M4*K32</f>
        <v>484.65778366945733</v>
      </c>
      <c r="O32" s="4"/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171</v>
      </c>
      <c r="C33" s="18" t="s">
        <v>138</v>
      </c>
      <c r="D33" s="4">
        <f>IF($C$28&lt;=300,Datos!E112,"")</f>
        <v>105.96</v>
      </c>
      <c r="E33" s="4" t="str">
        <f>IF(AND($C$13=$D$14,$C$15&lt;&gt;"",$C$15&lt;&gt;$G$13,$C$14=F18),Datos!E37,"")</f>
        <v/>
      </c>
      <c r="F33" s="4"/>
      <c r="G33" s="4" t="str">
        <f>IF(AND(C11=D6,$D12=$D$14,$C$14=F17),Datos!E37,"")</f>
        <v/>
      </c>
      <c r="H33" s="4"/>
      <c r="I33" s="4"/>
      <c r="O33" s="4" t="s">
        <v>176</v>
      </c>
      <c r="P33" s="4"/>
      <c r="Q33" s="4"/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191</v>
      </c>
      <c r="C34" s="116">
        <v>0</v>
      </c>
      <c r="D34" s="4">
        <f>IF($C$28&lt;=350,Datos!E113,"")</f>
        <v>123.62</v>
      </c>
      <c r="E34" s="4"/>
      <c r="F34" s="4" t="str">
        <f>IF(AND(OR($C$13=$D$15,$C$13=$D$16),$C$15&lt;&gt;"",$C$15&lt;&gt;$G$13,$C$14=F19),Datos!E44,"")</f>
        <v/>
      </c>
      <c r="G34" s="4" t="str">
        <f>IF(AND(C11=D6,$D12=$D$14,$C$14=F18),Datos!E38,"")</f>
        <v/>
      </c>
      <c r="H34" s="4"/>
      <c r="I34" s="4"/>
      <c r="O34" s="4" t="s">
        <v>177</v>
      </c>
      <c r="P34" s="4">
        <v>2400</v>
      </c>
      <c r="Q34" s="4">
        <v>2400</v>
      </c>
      <c r="R34" s="4"/>
      <c r="S34" s="4"/>
      <c r="T34" s="4"/>
      <c r="U34" s="4"/>
      <c r="V34" s="4"/>
      <c r="W34" s="4"/>
    </row>
    <row r="35" spans="1:23" ht="14.65" thickBot="1" x14ac:dyDescent="0.5">
      <c r="A35" s="4"/>
      <c r="B35" s="129" t="s">
        <v>190</v>
      </c>
      <c r="C35" s="116">
        <v>0</v>
      </c>
      <c r="D35" s="4">
        <f>IF($C$28&lt;=450,Datos!E114,"")</f>
        <v>141.27000000000001</v>
      </c>
      <c r="E35" s="4"/>
      <c r="F35" s="4"/>
      <c r="G35" s="4"/>
      <c r="H35" s="4"/>
      <c r="I35" s="4"/>
      <c r="J35" s="74" t="s">
        <v>167</v>
      </c>
      <c r="K35" s="75"/>
      <c r="L35" s="76"/>
      <c r="O35" s="4" t="s">
        <v>178</v>
      </c>
      <c r="P35" s="4">
        <v>2700</v>
      </c>
      <c r="Q35" s="4">
        <f>Q34+P35</f>
        <v>5100</v>
      </c>
      <c r="R35" s="4"/>
      <c r="S35" s="4"/>
      <c r="T35" s="4"/>
      <c r="U35" s="4"/>
      <c r="V35" s="4"/>
      <c r="W35" s="4"/>
    </row>
    <row r="36" spans="1:23" ht="14.65" thickBot="1" x14ac:dyDescent="0.5">
      <c r="A36" s="4" t="s">
        <v>159</v>
      </c>
      <c r="B36" s="41" t="s">
        <v>174</v>
      </c>
      <c r="C36" s="18">
        <v>0</v>
      </c>
      <c r="D36" s="4">
        <f>IF($C$28&lt;=450,Datos!E115,"")</f>
        <v>158.94</v>
      </c>
      <c r="E36" s="4"/>
      <c r="F36" s="4"/>
      <c r="G36" s="4"/>
      <c r="H36" s="4"/>
      <c r="I36" s="4"/>
      <c r="J36" s="36" t="s">
        <v>168</v>
      </c>
      <c r="K36" s="37"/>
      <c r="L36" s="70">
        <f>L4*12+M4*2</f>
        <v>41270.959999999999</v>
      </c>
      <c r="O36" s="4" t="s">
        <v>179</v>
      </c>
      <c r="P36" s="4">
        <v>4000</v>
      </c>
      <c r="Q36" s="4">
        <f>Q35+P36</f>
        <v>9100</v>
      </c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160</v>
      </c>
      <c r="B37" s="129" t="s">
        <v>173</v>
      </c>
      <c r="C37" s="18">
        <v>0</v>
      </c>
      <c r="D37" s="4">
        <f>IF($C$28&lt;=1000050,Datos!E116,"")</f>
        <v>176.59</v>
      </c>
      <c r="E37" s="4"/>
      <c r="F37" s="4"/>
      <c r="G37" s="4"/>
      <c r="H37" s="4"/>
      <c r="I37" s="4"/>
      <c r="J37" s="7" t="s">
        <v>259</v>
      </c>
      <c r="K37" s="8"/>
      <c r="L37" s="9">
        <f>IF(AND(C48="Sí",L36&lt;33007.2),TRUNC(L36*0.02),0)</f>
        <v>0</v>
      </c>
      <c r="M37" s="22"/>
      <c r="N37" s="22"/>
      <c r="O37" s="4" t="s">
        <v>180</v>
      </c>
      <c r="P37" s="4">
        <v>4500</v>
      </c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161</v>
      </c>
      <c r="B38" s="131" t="s">
        <v>196</v>
      </c>
      <c r="C38" s="18" t="s">
        <v>138</v>
      </c>
      <c r="D38" s="4" t="str">
        <f>IF(B70=A69,"Sí","No")</f>
        <v>Sí</v>
      </c>
      <c r="E38" s="4"/>
      <c r="F38" s="4"/>
      <c r="G38" s="4"/>
      <c r="H38" s="4"/>
      <c r="I38" s="4"/>
      <c r="J38" s="7" t="s">
        <v>265</v>
      </c>
      <c r="K38" s="8"/>
      <c r="L38" s="9">
        <f>IF(L36-L39&lt;14582,7302,IF(L36-L39&lt;17673.52,7302-(1.75*(L36-L39-14852)),IF(L36-L39&lt;19747.5,2364.34-(1.14*(L36-L39-17673.52)),0)))</f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182</v>
      </c>
      <c r="B39" s="129" t="s">
        <v>181</v>
      </c>
      <c r="C39" s="18" t="s">
        <v>182</v>
      </c>
      <c r="D39" s="4"/>
      <c r="E39" s="4"/>
      <c r="F39" s="4"/>
      <c r="G39" s="4"/>
      <c r="H39" s="4"/>
      <c r="I39" s="4"/>
      <c r="J39" s="36" t="s">
        <v>236</v>
      </c>
      <c r="K39" s="37"/>
      <c r="L39" s="70">
        <f>SUM(L28:L31)*14+SUM(M28:M31)*2</f>
        <v>3115.2696306666662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184</v>
      </c>
      <c r="B40" s="131" t="s">
        <v>189</v>
      </c>
      <c r="C40" s="18" t="s">
        <v>138</v>
      </c>
      <c r="D40" s="4"/>
      <c r="E40" s="4"/>
      <c r="F40" s="4"/>
      <c r="G40" s="4"/>
      <c r="H40" s="4"/>
      <c r="I40" s="4"/>
      <c r="J40" s="36" t="s">
        <v>241</v>
      </c>
      <c r="K40" s="37"/>
      <c r="L40" s="70">
        <f>C34+2000+M41</f>
        <v>2000</v>
      </c>
      <c r="M40" s="4"/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thickBot="1" x14ac:dyDescent="0.5">
      <c r="A41" s="4" t="s">
        <v>183</v>
      </c>
      <c r="B41" s="129" t="s">
        <v>192</v>
      </c>
      <c r="C41" s="18">
        <v>0</v>
      </c>
      <c r="D41" s="4"/>
      <c r="E41" s="4"/>
      <c r="F41" s="4"/>
      <c r="G41" s="4"/>
      <c r="H41" s="4"/>
      <c r="I41" s="4"/>
      <c r="J41" s="36" t="s">
        <v>170</v>
      </c>
      <c r="K41" s="37"/>
      <c r="L41" s="70">
        <f>IF(C33="Sí",1150+5550,5550)</f>
        <v>5550</v>
      </c>
      <c r="M41" s="4">
        <f>IF(AND(C39=A42,C40="No"),3500,IF(OR(C39=A41,C39=A42),7750,0))</f>
        <v>0</v>
      </c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 t="s">
        <v>185</v>
      </c>
      <c r="B42" s="173" t="s">
        <v>207</v>
      </c>
      <c r="C42" s="175">
        <v>0</v>
      </c>
      <c r="D42" s="4"/>
      <c r="E42" s="4"/>
      <c r="F42" s="4"/>
      <c r="G42" s="4"/>
      <c r="H42" s="4"/>
      <c r="I42" s="4"/>
      <c r="J42" s="36" t="s">
        <v>172</v>
      </c>
      <c r="K42" s="37"/>
      <c r="L42" s="70">
        <f>SUM(C71:C74)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x14ac:dyDescent="0.45">
      <c r="A43" s="4"/>
      <c r="B43" s="173"/>
      <c r="C43" s="176"/>
      <c r="D43" s="4"/>
      <c r="E43" s="4"/>
      <c r="F43" s="4"/>
      <c r="G43" s="4"/>
      <c r="H43" s="4"/>
      <c r="I43" s="4"/>
      <c r="J43" s="36" t="s">
        <v>175</v>
      </c>
      <c r="K43" s="37"/>
      <c r="L43" s="70">
        <f>IF(C38="no",M49/2+1400*C37,M49+2800*C37)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thickBot="1" x14ac:dyDescent="0.5">
      <c r="A44" s="4"/>
      <c r="B44" s="174"/>
      <c r="C44" s="177"/>
      <c r="D44" s="4"/>
      <c r="E44" s="4"/>
      <c r="F44" s="4"/>
      <c r="G44" s="4"/>
      <c r="H44" s="4"/>
      <c r="I44" s="4"/>
      <c r="J44" s="36" t="s">
        <v>186</v>
      </c>
      <c r="K44" s="37"/>
      <c r="L44" s="70">
        <f>IF(C39=A41,9000,IF(C39=A42,3000,0))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8" t="s">
        <v>207</v>
      </c>
      <c r="C45" s="175">
        <v>0</v>
      </c>
      <c r="D45" s="4"/>
      <c r="E45" s="4"/>
      <c r="F45" s="4"/>
      <c r="G45" s="4"/>
      <c r="H45" s="4"/>
      <c r="I45" s="4"/>
      <c r="J45" s="36" t="s">
        <v>187</v>
      </c>
      <c r="K45" s="37"/>
      <c r="L45" s="70">
        <f>SUM(C75:C78)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x14ac:dyDescent="0.45">
      <c r="A46" s="4"/>
      <c r="B46" s="173"/>
      <c r="C46" s="176"/>
      <c r="D46" s="4"/>
      <c r="E46" s="4"/>
      <c r="F46" s="4"/>
      <c r="G46" s="4"/>
      <c r="H46" s="4"/>
      <c r="I46" s="4"/>
      <c r="J46" s="36" t="s">
        <v>188</v>
      </c>
      <c r="K46" s="37"/>
      <c r="L46" s="70">
        <f>IF(C38="Sí",M51,M51/2)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4"/>
      <c r="B47" s="174"/>
      <c r="C47" s="177"/>
      <c r="D47" s="4"/>
      <c r="E47" s="4"/>
      <c r="F47" s="4"/>
      <c r="G47" s="4"/>
      <c r="H47" s="4"/>
      <c r="I47" s="4"/>
      <c r="J47" s="36" t="s">
        <v>206</v>
      </c>
      <c r="K47" s="37"/>
      <c r="L47" s="70">
        <f>IF(OR(C40="Sí",C39=A41),3000,0)</f>
        <v>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267</v>
      </c>
      <c r="C48" s="18" t="s">
        <v>138</v>
      </c>
      <c r="D48" s="4"/>
      <c r="E48" s="4"/>
      <c r="F48" s="4"/>
      <c r="G48" s="4"/>
      <c r="H48" s="4"/>
      <c r="I48" s="4"/>
      <c r="J48" s="7" t="s">
        <v>208</v>
      </c>
      <c r="K48" s="8"/>
      <c r="L48" s="9">
        <f>SUM(L41:L47)</f>
        <v>5550</v>
      </c>
      <c r="M48" s="4"/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129" t="s">
        <v>260</v>
      </c>
      <c r="C49" s="117"/>
      <c r="D49" s="4"/>
      <c r="E49" s="4"/>
      <c r="F49" s="4"/>
      <c r="G49" s="4"/>
      <c r="H49" s="4"/>
      <c r="I49" s="4"/>
      <c r="J49" s="7" t="s">
        <v>209</v>
      </c>
      <c r="K49" s="8"/>
      <c r="L49" s="9">
        <f>MAX(0,L36-L39-L40-L38)</f>
        <v>36155.69036933333</v>
      </c>
      <c r="M49" s="4">
        <f>IF(C36=1,Q34,IF(C36=2,Q35,IF(C36=3,Q36,IF(C36&lt;1,0,Q36+4500*(C36-3)))))</f>
        <v>0</v>
      </c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193</v>
      </c>
      <c r="C50" s="109"/>
      <c r="D50" s="4"/>
      <c r="E50" s="4"/>
      <c r="F50" s="4"/>
      <c r="G50" s="4"/>
      <c r="H50" s="4"/>
      <c r="I50" s="4"/>
      <c r="J50" s="7" t="s">
        <v>210</v>
      </c>
      <c r="K50" s="8"/>
      <c r="L50" s="9">
        <f>IF(L48&gt;12450,0,MAX(0,MIN(12450,L49)-L48))</f>
        <v>6900</v>
      </c>
      <c r="M50" s="4"/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194</v>
      </c>
      <c r="C51" s="109" t="s">
        <v>182</v>
      </c>
      <c r="D51" s="4"/>
      <c r="E51" s="4"/>
      <c r="F51" s="4"/>
      <c r="G51" s="4"/>
      <c r="H51" s="4"/>
      <c r="I51" s="4"/>
      <c r="J51" s="7" t="s">
        <v>211</v>
      </c>
      <c r="K51" s="8"/>
      <c r="L51" s="9">
        <f>IF(IF(L48&gt;20200,0,IF(L49&gt;20200,MIN(20200-L48,20200-12450),MIN(L49-L48,L49-12450)))&lt;0,0,IF(L48&gt;20200,0,IF(L49&gt;20200,MIN(20200-L48,20200-12450),MIN(L49-L48,L49-12450))))</f>
        <v>7750</v>
      </c>
      <c r="M51" s="4">
        <f>C41*12000+C42*6000+C45*3000</f>
        <v>0</v>
      </c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22"/>
      <c r="B52" s="25" t="s">
        <v>201</v>
      </c>
      <c r="C52" s="18" t="s">
        <v>138</v>
      </c>
      <c r="D52" s="4"/>
      <c r="E52" s="4"/>
      <c r="F52" s="4"/>
      <c r="G52" s="4"/>
      <c r="H52" s="4"/>
      <c r="I52" s="4"/>
      <c r="J52" s="7" t="s">
        <v>212</v>
      </c>
      <c r="K52" s="8"/>
      <c r="L52" s="9">
        <f>IF(IF(L48&gt;35200,0,IF(L49&gt;35200,MIN(35200-L48,35200-20200),MIN(L49-L48,L49-20200)))&lt;0,0,IF(L48&gt;35200,0,IF(L49&gt;35200,MIN(35200-L48,35200-20200),MIN(L49-L48,L49-20200))))</f>
        <v>15000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26" t="s">
        <v>195</v>
      </c>
      <c r="C53" s="109"/>
      <c r="D53" s="4"/>
      <c r="E53" s="4"/>
      <c r="F53" s="4"/>
      <c r="G53" s="4"/>
      <c r="H53" s="4"/>
      <c r="I53" s="4"/>
      <c r="J53" s="7" t="s">
        <v>213</v>
      </c>
      <c r="K53" s="8"/>
      <c r="L53" s="9">
        <f>IF(IF(L48&gt;60000,0,IF(L49&gt;60000,MIN(35200-L48,60000-35200),MIN(L49-L48,L49-35200)))&lt;0,0,IF(L48&gt;60000,0,IF(L49&gt;60000,MIN(35200-L48,60000-35200),MIN(L49-L48,L49-35200))))</f>
        <v>955.69036933332973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129" t="s">
        <v>261</v>
      </c>
      <c r="C54" s="117"/>
      <c r="H54" s="4"/>
      <c r="I54" s="4"/>
      <c r="J54" s="7" t="s">
        <v>214</v>
      </c>
      <c r="K54" s="8"/>
      <c r="L54" s="9">
        <f>IF(IF(L48&gt;30000,0,IF(L49&gt;300000,MIN(60000-L48,300000-60000),MIN(L49-L48,L49-60000)))&lt;0,0,IF(L48&gt;30000,0,IF(L49&gt;300000,MIN(60000-L48,300000-60000),MIN(L49-L48,L49-60000))))</f>
        <v>0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193</v>
      </c>
      <c r="C55" s="109"/>
      <c r="H55" s="4"/>
      <c r="I55" s="4"/>
      <c r="J55" s="7" t="s">
        <v>215</v>
      </c>
      <c r="K55" s="8"/>
      <c r="L55" s="9">
        <f>ROUND(L50*0.19,2)</f>
        <v>1311</v>
      </c>
      <c r="M55" s="4"/>
      <c r="N55" s="4"/>
      <c r="O55" s="22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194</v>
      </c>
      <c r="C56" s="109" t="s">
        <v>182</v>
      </c>
      <c r="G56" s="4"/>
      <c r="H56" s="4"/>
      <c r="I56" s="4"/>
      <c r="J56" s="7" t="s">
        <v>216</v>
      </c>
      <c r="K56" s="8"/>
      <c r="L56" s="9">
        <f>ROUND(L51*0.24,2)</f>
        <v>1860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5" t="s">
        <v>201</v>
      </c>
      <c r="C57" s="18" t="s">
        <v>138</v>
      </c>
      <c r="G57" s="4"/>
      <c r="H57" s="4"/>
      <c r="I57" s="4"/>
      <c r="J57" s="7" t="s">
        <v>217</v>
      </c>
      <c r="K57" s="8"/>
      <c r="L57" s="9">
        <f>ROUND(L52*0.3,2)</f>
        <v>4500</v>
      </c>
      <c r="M57" s="4"/>
      <c r="N57" s="4"/>
      <c r="P57" s="4"/>
      <c r="Q57" s="4"/>
      <c r="R57" s="4"/>
      <c r="S57" s="4"/>
      <c r="T57" s="4"/>
      <c r="U57" s="4"/>
      <c r="V57" s="4"/>
      <c r="W57" s="4"/>
    </row>
    <row r="58" spans="1:23" ht="14.75" customHeight="1" thickBot="1" x14ac:dyDescent="0.5">
      <c r="A58" s="4"/>
      <c r="B58" s="26" t="s">
        <v>195</v>
      </c>
      <c r="C58" s="109"/>
      <c r="G58" s="4"/>
      <c r="H58" s="4"/>
      <c r="I58" s="4"/>
      <c r="J58" s="7" t="s">
        <v>218</v>
      </c>
      <c r="K58" s="8"/>
      <c r="L58" s="9">
        <f>ROUND(L53*0.37,2)</f>
        <v>353.61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129" t="s">
        <v>262</v>
      </c>
      <c r="C59" s="117"/>
      <c r="G59" s="4"/>
      <c r="H59" s="4"/>
      <c r="I59" s="4"/>
      <c r="J59" s="7" t="s">
        <v>219</v>
      </c>
      <c r="K59" s="8"/>
      <c r="L59" s="9">
        <f>ROUND(L54*0.45,2)</f>
        <v>0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193</v>
      </c>
      <c r="C60" s="109"/>
      <c r="G60" s="4"/>
      <c r="H60" s="4"/>
      <c r="I60" s="4"/>
      <c r="J60" s="7" t="s">
        <v>266</v>
      </c>
      <c r="K60" s="8"/>
      <c r="L60" s="49">
        <f>SUM(L55:L59)</f>
        <v>8024.61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5" t="s">
        <v>194</v>
      </c>
      <c r="C61" s="109" t="s">
        <v>182</v>
      </c>
      <c r="G61" s="4"/>
      <c r="H61" s="4"/>
      <c r="I61" s="4"/>
      <c r="J61" s="7" t="s">
        <v>264</v>
      </c>
      <c r="K61" s="8"/>
      <c r="L61" s="49">
        <f>MAX(0,C130-L37)</f>
        <v>8024.6054366533317</v>
      </c>
      <c r="P61" s="4"/>
      <c r="Q61" s="4"/>
      <c r="R61" s="4"/>
      <c r="S61" s="4"/>
      <c r="T61" s="4"/>
      <c r="U61" s="4"/>
      <c r="V61" s="4"/>
      <c r="W61" s="4"/>
    </row>
    <row r="62" spans="1:23" ht="14.65" thickBot="1" x14ac:dyDescent="0.5">
      <c r="A62" s="4"/>
      <c r="B62" s="27" t="s">
        <v>201</v>
      </c>
      <c r="C62" s="18" t="s">
        <v>138</v>
      </c>
      <c r="G62" s="4"/>
      <c r="H62" s="4"/>
      <c r="I62" s="4"/>
      <c r="J62" s="80" t="s">
        <v>220</v>
      </c>
      <c r="K62" s="81"/>
      <c r="L62" s="82">
        <f>IF(M62&lt;0.02,0.02,M62)</f>
        <v>0.19443709176266633</v>
      </c>
      <c r="M62" s="4">
        <f>IF(L61&lt;L60,L61/L36,L60/L36)</f>
        <v>0.19443709176266633</v>
      </c>
    </row>
    <row r="63" spans="1:23" ht="14.65" thickBot="1" x14ac:dyDescent="0.5">
      <c r="A63" s="4"/>
      <c r="B63" s="26" t="s">
        <v>195</v>
      </c>
      <c r="C63" s="109"/>
      <c r="G63" s="4"/>
      <c r="H63" s="4"/>
      <c r="I63" s="4"/>
    </row>
    <row r="64" spans="1:23" ht="14.65" thickBot="1" x14ac:dyDescent="0.5">
      <c r="A64" s="4"/>
      <c r="B64" s="129" t="s">
        <v>263</v>
      </c>
      <c r="C64" s="117"/>
      <c r="G64" s="4"/>
      <c r="H64" s="4"/>
      <c r="I64" s="4"/>
      <c r="J64" s="74" t="s">
        <v>222</v>
      </c>
      <c r="K64" s="77"/>
      <c r="L64" s="78"/>
    </row>
    <row r="65" spans="1:12" ht="14.65" thickBot="1" x14ac:dyDescent="0.5">
      <c r="A65" s="4"/>
      <c r="B65" s="25" t="s">
        <v>193</v>
      </c>
      <c r="C65" s="109"/>
      <c r="G65" s="4"/>
      <c r="H65" s="4"/>
      <c r="I65" s="4"/>
      <c r="J65" s="7" t="s">
        <v>224</v>
      </c>
      <c r="L65" s="71">
        <v>4.7E-2</v>
      </c>
    </row>
    <row r="66" spans="1:12" ht="14.65" thickBot="1" x14ac:dyDescent="0.5">
      <c r="A66" s="4"/>
      <c r="B66" s="25" t="s">
        <v>194</v>
      </c>
      <c r="C66" s="109" t="s">
        <v>182</v>
      </c>
      <c r="G66" s="4"/>
      <c r="H66" s="4"/>
      <c r="I66" s="4"/>
      <c r="J66" s="7" t="s">
        <v>225</v>
      </c>
      <c r="L66" s="71">
        <v>1.1999999999999999E-3</v>
      </c>
    </row>
    <row r="67" spans="1:12" ht="14.65" thickBot="1" x14ac:dyDescent="0.5">
      <c r="A67" s="4"/>
      <c r="B67" s="27" t="s">
        <v>201</v>
      </c>
      <c r="C67" s="18" t="s">
        <v>138</v>
      </c>
      <c r="G67" s="4"/>
      <c r="H67" s="4"/>
      <c r="I67" s="4"/>
      <c r="J67" s="7" t="s">
        <v>230</v>
      </c>
      <c r="L67" s="71">
        <v>0.28299999999999997</v>
      </c>
    </row>
    <row r="68" spans="1:12" ht="14.65" thickBot="1" x14ac:dyDescent="0.5">
      <c r="A68" s="4"/>
      <c r="B68" s="27" t="s">
        <v>195</v>
      </c>
      <c r="C68" s="109"/>
      <c r="G68" s="4"/>
      <c r="H68" s="4"/>
      <c r="I68" s="4"/>
      <c r="J68" s="7" t="s">
        <v>229</v>
      </c>
      <c r="L68" s="40">
        <v>1.0999999999999999E-2</v>
      </c>
    </row>
    <row r="69" spans="1:12" ht="14.65" thickBot="1" x14ac:dyDescent="0.5">
      <c r="A69" s="30" t="s">
        <v>240</v>
      </c>
      <c r="B69" s="41" t="s">
        <v>237</v>
      </c>
      <c r="C69" s="69">
        <f>IF(B70=A69,1,IF(B70=A70,2,IF(B70=A71,3,0)))</f>
        <v>1</v>
      </c>
      <c r="G69" s="4"/>
      <c r="H69" s="4"/>
      <c r="I69" s="4"/>
      <c r="J69" s="80" t="s">
        <v>228</v>
      </c>
      <c r="K69" s="81"/>
      <c r="L69" s="83">
        <f>L65+L66-ROUND((L67*L68),4)</f>
        <v>4.5100000000000001E-2</v>
      </c>
    </row>
    <row r="70" spans="1:12" ht="42" customHeight="1" thickBot="1" x14ac:dyDescent="0.5">
      <c r="A70" s="30" t="s">
        <v>238</v>
      </c>
      <c r="B70" s="161" t="s">
        <v>240</v>
      </c>
      <c r="C70" s="162"/>
      <c r="G70" s="4"/>
      <c r="H70" s="4"/>
      <c r="I70" s="4"/>
    </row>
    <row r="71" spans="1:12" x14ac:dyDescent="0.45">
      <c r="A71" s="30" t="s">
        <v>239</v>
      </c>
      <c r="B71" s="4" t="s">
        <v>197</v>
      </c>
      <c r="C71" s="4">
        <f>IF(C50&gt;=75,ROUND((1150+1400)/C53,2),IF(C50&gt;=65,ROUND(1150/C53,2),0))</f>
        <v>0</v>
      </c>
      <c r="G71" s="4"/>
      <c r="H71" s="4"/>
      <c r="I71" s="4"/>
      <c r="J71" s="74" t="s">
        <v>223</v>
      </c>
      <c r="K71" s="77"/>
      <c r="L71" s="78"/>
    </row>
    <row r="72" spans="1:12" x14ac:dyDescent="0.45">
      <c r="A72" s="4"/>
      <c r="B72" s="4" t="s">
        <v>198</v>
      </c>
      <c r="C72" s="4">
        <f>IF(C55&gt;=75,ROUND((1150+1400)/C58,2),IF(C55&gt;=65,ROUND(1150/C58,2),0))</f>
        <v>0</v>
      </c>
      <c r="D72" s="4"/>
      <c r="E72" s="4"/>
      <c r="F72" s="4"/>
      <c r="G72" s="4"/>
      <c r="H72" s="4"/>
      <c r="I72" s="4"/>
      <c r="J72" s="7" t="s">
        <v>224</v>
      </c>
      <c r="L72" s="71">
        <v>4.7E-2</v>
      </c>
    </row>
    <row r="73" spans="1:12" x14ac:dyDescent="0.45">
      <c r="A73" s="4"/>
      <c r="B73" s="4" t="s">
        <v>199</v>
      </c>
      <c r="C73" s="4">
        <f>IF(C60&gt;=75,ROUND((1150+1400)/C63,2),IF(C60&gt;=65,ROUND(1150/C63,2),0))</f>
        <v>0</v>
      </c>
      <c r="D73" s="4"/>
      <c r="E73" s="4"/>
      <c r="F73" s="4"/>
      <c r="G73" s="4"/>
      <c r="H73" s="4"/>
      <c r="I73" s="4"/>
      <c r="J73" s="7" t="s">
        <v>225</v>
      </c>
      <c r="L73" s="71">
        <v>1.1999999999999999E-3</v>
      </c>
    </row>
    <row r="74" spans="1:12" x14ac:dyDescent="0.45">
      <c r="A74" s="4"/>
      <c r="B74" s="4" t="s">
        <v>200</v>
      </c>
      <c r="C74" s="4">
        <f>IF(C65&gt;=75,ROUND((1150+1400)/C68,2),IF(C65&gt;=65,ROUND(1150/C68,2),0))</f>
        <v>0</v>
      </c>
      <c r="D74" s="4"/>
      <c r="E74" s="4"/>
      <c r="F74" s="4"/>
      <c r="G74" s="4"/>
      <c r="H74" s="4"/>
      <c r="I74" s="4"/>
      <c r="J74" s="7" t="s">
        <v>226</v>
      </c>
      <c r="L74" s="71">
        <v>1.55E-2</v>
      </c>
    </row>
    <row r="75" spans="1:12" x14ac:dyDescent="0.45">
      <c r="B75" s="4" t="s">
        <v>202</v>
      </c>
      <c r="C75" s="4">
        <f>IF(C50&lt;65,0,IF(C51=A41,ROUND(12000/C53,2),IF(AND(C51=A42,C52="No"),ROUND(3000/C53,2),IF(AND(C51=A42,C52="Sí"),ROUND(6000/C53,2),""))))</f>
        <v>0</v>
      </c>
      <c r="D75" s="4"/>
      <c r="E75" s="4"/>
      <c r="F75" s="4"/>
      <c r="G75" s="4"/>
      <c r="H75" s="4"/>
      <c r="I75" s="4"/>
      <c r="J75" s="7" t="s">
        <v>227</v>
      </c>
      <c r="L75" s="71">
        <v>1E-3</v>
      </c>
    </row>
    <row r="76" spans="1:12" ht="14.65" thickBot="1" x14ac:dyDescent="0.5">
      <c r="B76" s="4" t="s">
        <v>203</v>
      </c>
      <c r="C76" s="4">
        <f>IF(C55&lt;65,0,IF(C56=A41,ROUND(12000/C58,2),IF(AND(C56=A42,C57="No"),ROUND(3000/C58,2),IF(AND(C56=A42,C57="Sí"),ROUND(6000/C58,2),""))))</f>
        <v>0</v>
      </c>
      <c r="D76" s="4"/>
      <c r="E76" s="4"/>
      <c r="F76" s="4"/>
      <c r="G76" s="4"/>
      <c r="H76" s="4"/>
      <c r="I76" s="4"/>
      <c r="J76" s="80" t="s">
        <v>228</v>
      </c>
      <c r="K76" s="81"/>
      <c r="L76" s="82">
        <f>SUM(L72:L75)</f>
        <v>6.4700000000000008E-2</v>
      </c>
    </row>
    <row r="77" spans="1:12" x14ac:dyDescent="0.45">
      <c r="B77" s="4" t="s">
        <v>204</v>
      </c>
      <c r="C77" s="4">
        <f>IF(C60&lt;65,0,IF(C61=A41,ROUND(12000/C63,2),IF(AND(C61=A42,C62="No"),ROUND(3000/C63,2),IF(AND(C61=A42,C62="Sí"),ROUND(6000/C63,2),""))))</f>
        <v>0</v>
      </c>
      <c r="D77" s="4"/>
      <c r="E77" s="4"/>
      <c r="F77" s="4"/>
      <c r="G77" s="4"/>
      <c r="H77" s="4"/>
      <c r="I77" s="4"/>
    </row>
    <row r="78" spans="1:12" x14ac:dyDescent="0.45">
      <c r="B78" s="4" t="s">
        <v>205</v>
      </c>
      <c r="C78" s="4">
        <f>IF(C65&lt;65,0,IF(C66=A41,ROUND(12000/C68,2),IF(AND(C66=A42,C67="No"),ROUND(3000/C68,2),IF(AND(C66=A42,C67="Sí"),ROUND(6000/C68,2),""))))</f>
        <v>0</v>
      </c>
      <c r="D78" s="4"/>
      <c r="E78" s="4"/>
      <c r="F78" s="4"/>
      <c r="G78" s="4"/>
      <c r="H78" s="4"/>
      <c r="I78" s="4"/>
    </row>
    <row r="79" spans="1:12" x14ac:dyDescent="0.45">
      <c r="B79" s="4"/>
      <c r="C79" s="4"/>
      <c r="I79" s="4"/>
    </row>
    <row r="80" spans="1:12" x14ac:dyDescent="0.45">
      <c r="B80" s="4" t="s">
        <v>242</v>
      </c>
      <c r="C80" s="4"/>
      <c r="I80" s="4"/>
    </row>
    <row r="81" spans="2:9" x14ac:dyDescent="0.45">
      <c r="B81" s="4" t="s">
        <v>243</v>
      </c>
      <c r="C81" s="33">
        <f>L49-C35</f>
        <v>36155.69036933333</v>
      </c>
      <c r="I81" s="4"/>
    </row>
    <row r="82" spans="2:9" x14ac:dyDescent="0.45">
      <c r="B82" s="4" t="s">
        <v>244</v>
      </c>
      <c r="C82" s="33">
        <f>C35</f>
        <v>0</v>
      </c>
      <c r="I82" s="4"/>
    </row>
    <row r="83" spans="2:9" x14ac:dyDescent="0.45">
      <c r="B83" s="4" t="s">
        <v>245</v>
      </c>
      <c r="C83" s="34">
        <f>MAX(B85:B90)</f>
        <v>9079.1054366533317</v>
      </c>
      <c r="I83" s="4"/>
    </row>
    <row r="84" spans="2:9" x14ac:dyDescent="0.45">
      <c r="B84" s="4" t="s">
        <v>247</v>
      </c>
      <c r="C84" s="4"/>
      <c r="I84" s="4"/>
    </row>
    <row r="85" spans="2:9" x14ac:dyDescent="0.45">
      <c r="B85" s="4" t="str">
        <f>IF(C81&lt;12450,0+(C81)*0.19,"")</f>
        <v/>
      </c>
      <c r="C85" s="4"/>
      <c r="I85" s="4"/>
    </row>
    <row r="86" spans="2:9" x14ac:dyDescent="0.45">
      <c r="B86" s="4" t="str">
        <f>IF(AND(C81&gt;=12450,C81&lt;20200),2365.5+(C81-12450)*0.24,"")</f>
        <v/>
      </c>
      <c r="C86" s="4"/>
      <c r="I86" s="4"/>
    </row>
    <row r="87" spans="2:9" x14ac:dyDescent="0.45">
      <c r="B87" s="4" t="str">
        <f>IF(AND(C81&gt;=20200,C81&lt;35200),4225.5+(C81-20200)*0.3,"")</f>
        <v/>
      </c>
      <c r="C87" s="4"/>
      <c r="I87" s="4"/>
    </row>
    <row r="88" spans="2:9" x14ac:dyDescent="0.45">
      <c r="B88" s="4">
        <f>IF(AND(C81&gt;=35200,C81&lt;60000),8725.5+(C81-35200)*0.37,"")</f>
        <v>9079.1054366533317</v>
      </c>
      <c r="C88" s="4"/>
      <c r="I88" s="4"/>
    </row>
    <row r="89" spans="2:9" x14ac:dyDescent="0.45">
      <c r="B89" s="4" t="str">
        <f>IF(AND(C81&gt;=60000,C81&lt;300000),17901.5+(C81-60000)*0.45,"")</f>
        <v/>
      </c>
      <c r="C89" s="4"/>
      <c r="I89" s="4"/>
    </row>
    <row r="90" spans="2:9" x14ac:dyDescent="0.45">
      <c r="B90" s="4" t="str">
        <f>IF(C81&gt;300000,125901.5+(C81-300000)*0.47,"")</f>
        <v/>
      </c>
      <c r="C90" s="4"/>
      <c r="I90" s="4"/>
    </row>
    <row r="91" spans="2:9" x14ac:dyDescent="0.45">
      <c r="B91" s="4" t="s">
        <v>246</v>
      </c>
      <c r="C91" s="34">
        <f>MAX(B92:B97)</f>
        <v>0</v>
      </c>
      <c r="I91" s="4"/>
    </row>
    <row r="92" spans="2:9" x14ac:dyDescent="0.45">
      <c r="B92" s="4">
        <f>IF(C82&lt;12450,0+(C82)*0.19,"")</f>
        <v>0</v>
      </c>
      <c r="C92" s="4"/>
      <c r="I92" s="4"/>
    </row>
    <row r="93" spans="2:9" x14ac:dyDescent="0.45">
      <c r="B93" s="4" t="str">
        <f>IF(AND(C82&gt;=12450,C82&lt;20200),2365.5+(C82-12450)*0.24,"")</f>
        <v/>
      </c>
      <c r="C93" s="4"/>
      <c r="I93" s="4"/>
    </row>
    <row r="94" spans="2:9" x14ac:dyDescent="0.45">
      <c r="B94" s="4" t="str">
        <f>IF(AND(C82&gt;=20200,C82&lt;35200),4225.5+(C82-20200)*0.3,"")</f>
        <v/>
      </c>
      <c r="C94" s="4"/>
      <c r="I94" s="4"/>
    </row>
    <row r="95" spans="2:9" x14ac:dyDescent="0.45">
      <c r="B95" s="4" t="str">
        <f>IF(AND(C82&gt;=35200,C82&lt;60000),8725.5+(C82-35200)*0.37,"")</f>
        <v/>
      </c>
      <c r="C95" s="4"/>
      <c r="I95" s="4"/>
    </row>
    <row r="96" spans="2:9" x14ac:dyDescent="0.45">
      <c r="B96" s="4" t="str">
        <f>IF(AND(C82&gt;=60000,C82&lt;300000),17901.5+(C82-60000)*0.45,"")</f>
        <v/>
      </c>
      <c r="C96" s="4"/>
    </row>
    <row r="97" spans="1:29" x14ac:dyDescent="0.45">
      <c r="B97" s="4" t="str">
        <f>IF(C82&gt;300000,125901.5+(C82-300000)*0.47,"")</f>
        <v/>
      </c>
      <c r="C97" s="4"/>
    </row>
    <row r="98" spans="1:29" s="22" customFormat="1" x14ac:dyDescent="0.45">
      <c r="A98" s="1"/>
      <c r="B98" s="4" t="s">
        <v>248</v>
      </c>
      <c r="C98" s="33">
        <f>IF(AND(C35&gt;0,L49-C35&gt;0),C91+C83,C108)</f>
        <v>9079.1054366533317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s="22" customFormat="1" x14ac:dyDescent="0.45">
      <c r="A99" s="1"/>
      <c r="B99" s="4" t="s">
        <v>249</v>
      </c>
      <c r="C99" s="34">
        <f>IF(AND(C35&gt;0,L49-C35&gt;0),L48+1980,L48)</f>
        <v>5550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s="22" customFormat="1" x14ac:dyDescent="0.45">
      <c r="A100" s="1"/>
      <c r="B100" s="4" t="s">
        <v>250</v>
      </c>
      <c r="C100" s="34">
        <f>MAX(B101:B106)</f>
        <v>1054.5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s="22" customFormat="1" x14ac:dyDescent="0.45">
      <c r="A101" s="1"/>
      <c r="B101" s="4">
        <f>IF(C99&lt;12450,0+(C99)*0.19,"")</f>
        <v>1054.5</v>
      </c>
      <c r="C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s="22" customFormat="1" x14ac:dyDescent="0.45">
      <c r="A102" s="1"/>
      <c r="B102" s="4" t="str">
        <f>IF(AND(C99&gt;=12450,C99&lt;20200),2365.5+(C99-12450)*0.24,"")</f>
        <v/>
      </c>
      <c r="C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22" customFormat="1" x14ac:dyDescent="0.45">
      <c r="A103" s="1"/>
      <c r="B103" s="4" t="str">
        <f>IF(AND(C99&gt;=20200,C99&lt;35200),4225.5+(C99-20200)*0.3,"")</f>
        <v/>
      </c>
      <c r="C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22" customFormat="1" x14ac:dyDescent="0.45">
      <c r="A104" s="1"/>
      <c r="B104" s="4" t="str">
        <f>IF(AND(C99&gt;=35200,C99&lt;60000),8725.5+(C99-35200)*0.37,"")</f>
        <v/>
      </c>
      <c r="C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s="22" customFormat="1" x14ac:dyDescent="0.45">
      <c r="A105" s="1"/>
      <c r="B105" s="4" t="str">
        <f>IF(AND(C99&gt;=60000,C99&lt;300000),17901.5+(C99-60000)*0.45,"")</f>
        <v/>
      </c>
      <c r="C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s="22" customFormat="1" x14ac:dyDescent="0.45">
      <c r="A106" s="1"/>
      <c r="B106" s="4" t="str">
        <f>IF(C99&gt;300000,125901.5+(C99-300000)*0.47,"")</f>
        <v/>
      </c>
      <c r="C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s="22" customFormat="1" x14ac:dyDescent="0.45">
      <c r="A107" s="1"/>
      <c r="B107" s="4" t="s">
        <v>251</v>
      </c>
      <c r="C107" s="35">
        <f>IF(C98&gt;C100,C98-C100,L60)</f>
        <v>8024.6054366533317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s="22" customFormat="1" x14ac:dyDescent="0.45">
      <c r="A108" s="1"/>
      <c r="B108" s="4" t="s">
        <v>252</v>
      </c>
      <c r="C108" s="34">
        <f>MAX(B109:B115)</f>
        <v>9079.1054366533317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s="22" customFormat="1" x14ac:dyDescent="0.45">
      <c r="A109" s="1"/>
      <c r="B109" s="4" t="str">
        <f>IF(L49&lt;12450,0+(L49)*0.19,"")</f>
        <v/>
      </c>
      <c r="C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s="22" customFormat="1" x14ac:dyDescent="0.45">
      <c r="A110" s="1"/>
      <c r="B110" s="4" t="str">
        <f>IF(AND(L49&gt;=12450,L49&lt;20200),2365.5+(L49-12450)*0.24,"")</f>
        <v/>
      </c>
      <c r="C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s="22" customFormat="1" x14ac:dyDescent="0.45">
      <c r="A111" s="1"/>
      <c r="B111" s="4" t="str">
        <f>IF(AND(L49&gt;=20200,L49&lt;35200),4225.5+(L49-20200)*0.3,"")</f>
        <v/>
      </c>
      <c r="C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s="22" customFormat="1" x14ac:dyDescent="0.45">
      <c r="A112" s="1"/>
      <c r="B112" s="4">
        <f>IF(AND(L49&gt;=35200,L49&lt;60000),8725.5+(L49-35200)*0.37,"")</f>
        <v>9079.1054366533317</v>
      </c>
      <c r="C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s="22" customFormat="1" x14ac:dyDescent="0.45">
      <c r="A113" s="1"/>
      <c r="B113" s="4" t="str">
        <f>IF(AND(L49&gt;=60000,L49&lt;300000),17901.5+(L49-60000)*0.45,"")</f>
        <v/>
      </c>
      <c r="C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s="22" customFormat="1" x14ac:dyDescent="0.45">
      <c r="A114" s="1"/>
      <c r="B114" s="4" t="str">
        <f>IF(L49&gt;300000,125901.5+(L49-300000)*0.47,"")</f>
        <v/>
      </c>
      <c r="C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s="22" customFormat="1" x14ac:dyDescent="0.45">
      <c r="A115" s="1"/>
      <c r="B115" s="4"/>
      <c r="C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s="22" customFormat="1" x14ac:dyDescent="0.45">
      <c r="A116" s="1"/>
      <c r="B116" s="4"/>
      <c r="C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s="22" customFormat="1" x14ac:dyDescent="0.45">
      <c r="A117" s="1"/>
      <c r="B117" s="4" t="s">
        <v>253</v>
      </c>
      <c r="C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s="22" customFormat="1" x14ac:dyDescent="0.45">
      <c r="A118" s="1"/>
      <c r="B118" s="4" t="s">
        <v>255</v>
      </c>
      <c r="C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s="22" customFormat="1" x14ac:dyDescent="0.45">
      <c r="A119" s="1"/>
      <c r="B119" s="4" t="s">
        <v>254</v>
      </c>
      <c r="C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s="22" customFormat="1" x14ac:dyDescent="0.45">
      <c r="A120" s="1"/>
      <c r="B120" s="4">
        <f>IF(AND(L36&lt;=35200,C69=1,C36=1),(L36-(17270+C119+C120))*0.43,0)</f>
        <v>0</v>
      </c>
      <c r="C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s="22" customFormat="1" x14ac:dyDescent="0.45">
      <c r="A121" s="1"/>
      <c r="B121" s="4">
        <f>IF(AND(L36&lt;=35200,C69=1,C36&gt;1),(L36-(18617+C119+C120))*0.43,0)</f>
        <v>0</v>
      </c>
      <c r="C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s="22" customFormat="1" x14ac:dyDescent="0.45">
      <c r="A122" s="1"/>
      <c r="B122" s="4">
        <f>IF(AND(L36&lt;=35200,C69=2,C36=0),(L36-(16696+C119+C120))*0.43,0)</f>
        <v>0</v>
      </c>
      <c r="C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s="22" customFormat="1" x14ac:dyDescent="0.45">
      <c r="A123" s="1"/>
      <c r="B123" s="4">
        <f>IF(AND(L36&lt;=35200,C69=2,C36=1),(L36-(17894+C119+C120))*0.43,0)</f>
        <v>0</v>
      </c>
      <c r="C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s="22" customFormat="1" x14ac:dyDescent="0.45">
      <c r="A124" s="1"/>
      <c r="B124" s="4">
        <f>IF(AND(L36&lt;=35200,C69=2,C36&gt;1),(L36-(19241+C119+C120))*0.43,0)</f>
        <v>0</v>
      </c>
      <c r="C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s="22" customFormat="1" x14ac:dyDescent="0.45">
      <c r="A125" s="1"/>
      <c r="B125" s="4">
        <f>IF(AND(L36&lt;=35200,C69=3,C36=0),(L36-(15000+C119+C120))*0.43,0)</f>
        <v>0</v>
      </c>
      <c r="C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s="22" customFormat="1" x14ac:dyDescent="0.45">
      <c r="A126" s="1"/>
      <c r="B126" s="4">
        <f>IF(AND(L36&lt;=35200,C69=3,C36=1),(L36-(15599+C119+C120))*0.43,0)</f>
        <v>0</v>
      </c>
      <c r="C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s="22" customFormat="1" x14ac:dyDescent="0.45">
      <c r="A127" s="1"/>
      <c r="B127" s="4">
        <f>IF(AND(L36&lt;=35200,C69=3,C36&gt;1),(L36-(16272+C119+C120))*0.43,0)</f>
        <v>0</v>
      </c>
      <c r="C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s="22" customFormat="1" x14ac:dyDescent="0.45">
      <c r="A128" s="1"/>
      <c r="B128" s="4" t="s">
        <v>257</v>
      </c>
      <c r="C128" s="4" t="str">
        <f>IF(MAX(B120:B127)&gt;0,"Sí","No")</f>
        <v>No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s="22" customFormat="1" x14ac:dyDescent="0.45">
      <c r="A129" s="1"/>
      <c r="B129" s="4" t="s">
        <v>258</v>
      </c>
      <c r="C129" s="4">
        <f>MAX(B120:B127)</f>
        <v>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s="22" customFormat="1" x14ac:dyDescent="0.45">
      <c r="A130" s="1"/>
      <c r="B130" s="4" t="s">
        <v>256</v>
      </c>
      <c r="C130" s="35">
        <f>IF(C128="No",C107,IF(C107&gt;C129,C129,C107))</f>
        <v>8024.6054366533317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s="22" customFormat="1" x14ac:dyDescent="0.45">
      <c r="A131" s="1"/>
      <c r="B131" s="4"/>
      <c r="C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s="22" customFormat="1" x14ac:dyDescent="0.45">
      <c r="A132" s="1"/>
      <c r="B132" s="4"/>
      <c r="C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s="22" customFormat="1" x14ac:dyDescent="0.45">
      <c r="A133" s="1"/>
      <c r="B133" s="4"/>
      <c r="C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s="22" customFormat="1" x14ac:dyDescent="0.45">
      <c r="A134" s="1"/>
      <c r="B134" s="4"/>
      <c r="C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s="22" customFormat="1" x14ac:dyDescent="0.45">
      <c r="A135" s="1"/>
      <c r="B135" s="4"/>
      <c r="C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s="22" customFormat="1" x14ac:dyDescent="0.45">
      <c r="A136" s="1"/>
      <c r="B136" s="4"/>
      <c r="C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s="22" customFormat="1" x14ac:dyDescent="0.45">
      <c r="A137" s="1"/>
      <c r="B137" s="4"/>
      <c r="C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s="22" customFormat="1" x14ac:dyDescent="0.45">
      <c r="A138" s="1"/>
      <c r="B138" s="4"/>
      <c r="C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</sheetData>
  <sheetProtection algorithmName="SHA-512" hashValue="+qRwpkwZguExyiFDYfHoDANl2KwviTkmwZ9izmB5LvmCu4QwGLc+v6rW6jo0SJZEzhEvgbPk4aNA3gE8SbAG2w==" saltValue="8mqts84GXfIqlq+CEtcU2A==" spinCount="100000" sheet="1" objects="1" scenarios="1"/>
  <mergeCells count="13">
    <mergeCell ref="J2:K2"/>
    <mergeCell ref="M4:M5"/>
    <mergeCell ref="B29:C29"/>
    <mergeCell ref="B70:C70"/>
    <mergeCell ref="B3:C3"/>
    <mergeCell ref="J3:K3"/>
    <mergeCell ref="J4:K5"/>
    <mergeCell ref="L4:L5"/>
    <mergeCell ref="B32:C32"/>
    <mergeCell ref="B42:B44"/>
    <mergeCell ref="C42:C44"/>
    <mergeCell ref="B45:B47"/>
    <mergeCell ref="C45:C47"/>
  </mergeCells>
  <dataValidations count="18">
    <dataValidation type="list" allowBlank="1" showInputMessage="1" showErrorMessage="1" sqref="C11" xr:uid="{00000000-0002-0000-0000-000000000000}">
      <formula1>$D$5:$D$6</formula1>
    </dataValidation>
    <dataValidation type="whole" allowBlank="1" showInputMessage="1" showErrorMessage="1" sqref="C6:C10" xr:uid="{00000000-0002-0000-0000-000001000000}">
      <formula1>0</formula1>
      <formula2>14</formula2>
    </dataValidation>
    <dataValidation type="whole" allowBlank="1" showInputMessage="1" showErrorMessage="1" sqref="C12" xr:uid="{00000000-0002-0000-0000-000002000000}">
      <formula1>0</formula1>
      <formula2>5</formula2>
    </dataValidation>
    <dataValidation type="decimal" allowBlank="1" showInputMessage="1" showErrorMessage="1" sqref="C4:C5" xr:uid="{00000000-0002-0000-0000-000003000000}">
      <formula1>0</formula1>
      <formula2>100</formula2>
    </dataValidation>
    <dataValidation type="list" allowBlank="1" showInputMessage="1" showErrorMessage="1" sqref="C13" xr:uid="{00000000-0002-0000-0000-000004000000}">
      <formula1>$D$13:$D$20</formula1>
    </dataValidation>
    <dataValidation type="list" allowBlank="1" showInputMessage="1" showErrorMessage="1" sqref="C14" xr:uid="{00000000-0002-0000-0000-000005000000}">
      <formula1>$F$13:$F$18</formula1>
    </dataValidation>
    <dataValidation type="list" allowBlank="1" showInputMessage="1" showErrorMessage="1" sqref="C27 C48 C67 C62 C57 C52 C40 C38 C33 C15:C25" xr:uid="{00000000-0002-0000-0000-000006000000}">
      <formula1>$H$13:$H$14</formula1>
    </dataValidation>
    <dataValidation type="whole" allowBlank="1" showInputMessage="1" showErrorMessage="1" sqref="C26" xr:uid="{00000000-0002-0000-0000-000007000000}">
      <formula1>0</formula1>
      <formula2>30</formula2>
    </dataValidation>
    <dataValidation type="whole" allowBlank="1" showInputMessage="1" showErrorMessage="1" sqref="C28" xr:uid="{00000000-0002-0000-0000-000008000000}">
      <formula1>0</formula1>
      <formula2>10000</formula2>
    </dataValidation>
    <dataValidation type="whole" allowBlank="1" showInputMessage="1" showErrorMessage="1" sqref="C31" xr:uid="{00000000-0002-0000-0000-000009000000}">
      <formula1>1980</formula1>
      <formula2>2024</formula2>
    </dataValidation>
    <dataValidation type="list" allowBlank="1" showInputMessage="1" showErrorMessage="1" sqref="C30" xr:uid="{00000000-0002-0000-0000-00000A000000}">
      <formula1>$A$36:$A$38</formula1>
    </dataValidation>
    <dataValidation type="whole" allowBlank="1" showInputMessage="1" showErrorMessage="1" sqref="C36" xr:uid="{00000000-0002-0000-0000-00000B000000}">
      <formula1>0</formula1>
      <formula2>100</formula2>
    </dataValidation>
    <dataValidation type="whole" allowBlank="1" showInputMessage="1" showErrorMessage="1" sqref="C37 C41:C42" xr:uid="{00000000-0002-0000-0000-00000C000000}">
      <formula1>0</formula1>
      <formula2>C36</formula2>
    </dataValidation>
    <dataValidation type="whole" allowBlank="1" showInputMessage="1" showErrorMessage="1" sqref="C50 C55 C60 C65" xr:uid="{00000000-0002-0000-0000-00000D000000}">
      <formula1>18</formula1>
      <formula2>130</formula2>
    </dataValidation>
    <dataValidation type="whole" allowBlank="1" showInputMessage="1" showErrorMessage="1" sqref="C53 C58 C63 C68" xr:uid="{00000000-0002-0000-0000-00000E000000}">
      <formula1>0</formula1>
      <formula2>20</formula2>
    </dataValidation>
    <dataValidation type="whole" allowBlank="1" showInputMessage="1" showErrorMessage="1" sqref="C45" xr:uid="{00000000-0002-0000-0000-00000F000000}">
      <formula1>0</formula1>
      <formula2>C41</formula2>
    </dataValidation>
    <dataValidation type="list" allowBlank="1" showInputMessage="1" showErrorMessage="1" sqref="C39 C66 C56 C51 C61" xr:uid="{00000000-0002-0000-0000-000010000000}">
      <formula1>$A$39:$A$43</formula1>
    </dataValidation>
    <dataValidation type="list" allowBlank="1" showInputMessage="1" showErrorMessage="1" sqref="B70" xr:uid="{00000000-0002-0000-0000-000011000000}">
      <formula1>$A$69:$A$71</formula1>
    </dataValidation>
  </dataValidations>
  <hyperlinks>
    <hyperlink ref="B2" location="Inicio!A1" display="Ir a inicio" xr:uid="{00000000-0004-0000-00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38"/>
  <sheetViews>
    <sheetView showRowColHeaders="0" zoomScaleNormal="100" workbookViewId="0">
      <selection activeCell="C33" sqref="C33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L4-SUM(L28:L32)</f>
        <v>2333.1174429594084</v>
      </c>
      <c r="M3" s="73">
        <f>M4-SUM(M28:M32)</f>
        <v>2148.4893052435482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SUM(L6:L26)</f>
        <v>3230.7</v>
      </c>
      <c r="M4" s="157">
        <f>SUM(M6:M26)</f>
        <v>2699.5099999999998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ROUND((C4/100)*Datos!E4,2)</f>
        <v>1387.24</v>
      </c>
      <c r="M6" s="52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ROUND(($C$4/100)*Datos!E8,2)</f>
        <v>873.38</v>
      </c>
      <c r="M7" s="53">
        <f>L7</f>
        <v>873.38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ROUND(($C$4/100)*Datos!E12,2)</f>
        <v>970.08</v>
      </c>
      <c r="M8" s="53">
        <f>L8</f>
        <v>970.08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29" t="s">
        <v>278</v>
      </c>
      <c r="C11" s="18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IF(C13=D14,ROUND(C4*MAX(E28:E33,G28:G33)/100,2),0)</f>
        <v>0</v>
      </c>
      <c r="M11" s="53">
        <f t="shared" ref="M11:M26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IF(C13=D16,ROUND(C4*MAX(F28:F32,H28:H32)/100,2),0)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65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IF(C13=D15,ROUND(C4*MAX(F28:F32,H28:H32)/100,2),0)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65" thickBot="1" x14ac:dyDescent="0.5">
      <c r="A14" s="4"/>
      <c r="B14" s="129" t="s">
        <v>124</v>
      </c>
      <c r="C14" s="18"/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IF(C13=D17,ROUND(Datos!E77*'Catedráticos Secundaria'!C4/100,2),0)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65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tr">
        <f>B16</f>
        <v>Jefatura de Residencia Tipo A</v>
      </c>
      <c r="K15" s="61"/>
      <c r="L15" s="53">
        <f>IF(C16="Sí",ROUND(Datos!E85*'Catedráticos Secundaria'!C4/100,2),0)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65" thickBot="1" x14ac:dyDescent="0.5">
      <c r="A16" s="4"/>
      <c r="B16" s="129" t="s">
        <v>45</v>
      </c>
      <c r="C16" s="18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tr">
        <f>B17</f>
        <v>Jefatura de Residencia Tipo B</v>
      </c>
      <c r="K16" s="61"/>
      <c r="L16" s="53">
        <f>IF(C17="Sí",ROUND(Datos!E86*'Catedráticos Secundaria'!C4/100,2),0)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65" thickBot="1" x14ac:dyDescent="0.5">
      <c r="A17" s="4"/>
      <c r="B17" s="129" t="s">
        <v>46</v>
      </c>
      <c r="C17" s="18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 t="str">
        <f>B18</f>
        <v>Jefatura de Residencia de CEE</v>
      </c>
      <c r="K17" s="61"/>
      <c r="L17" s="53">
        <f>IF(C18="Sí",ROUND(Datos!E87*'Catedráticos Secundaria'!C4/100,2),0)</f>
        <v>0</v>
      </c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65" thickBot="1" x14ac:dyDescent="0.5">
      <c r="A18" s="4"/>
      <c r="B18" s="129" t="s">
        <v>99</v>
      </c>
      <c r="C18" s="18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 t="str">
        <f>B19</f>
        <v>Coordinación Equipos de Atención Hospitalaria y Domiciliaria</v>
      </c>
      <c r="K18" s="61"/>
      <c r="L18" s="53">
        <f>IF(C19="Sí",ROUND(Datos!E89*'Catedráticos Secundaria'!C4/100,2),0)</f>
        <v>0</v>
      </c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65" thickBot="1" x14ac:dyDescent="0.5">
      <c r="A19" s="4"/>
      <c r="B19" s="129" t="s">
        <v>97</v>
      </c>
      <c r="C19" s="18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 t="str">
        <f>B20</f>
        <v>Coordinación Programa Recuperación Pueblos Abandonados</v>
      </c>
      <c r="K19" s="61"/>
      <c r="L19" s="53">
        <f>IF(C20="Sí",ROUND(Datos!E90*'Catedráticos Secundaria'!C4/100,2),0)</f>
        <v>0</v>
      </c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65" thickBot="1" x14ac:dyDescent="0.5">
      <c r="A20" s="4"/>
      <c r="B20" s="129" t="s">
        <v>98</v>
      </c>
      <c r="C20" s="18" t="s">
        <v>138</v>
      </c>
      <c r="D20" s="4" t="s">
        <v>277</v>
      </c>
      <c r="E20" s="4"/>
      <c r="F20" s="4"/>
      <c r="G20" s="4"/>
      <c r="H20" s="4"/>
      <c r="I20" s="4"/>
      <c r="J20" s="36" t="s">
        <v>48</v>
      </c>
      <c r="K20" s="61"/>
      <c r="L20" s="53">
        <f>IF(C15="Sí",ROUND(Datos!E91*'Catedráticos Secundaria'!C4/100,2),0)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65" thickBot="1" x14ac:dyDescent="0.5">
      <c r="A21" s="4"/>
      <c r="B21" s="129" t="s">
        <v>49</v>
      </c>
      <c r="C21" s="18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IF(C22="Sí",ROUND(Datos!E97*'Catedráticos Secundaria'!C4/100,2),0)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65" thickBot="1" x14ac:dyDescent="0.5">
      <c r="A22" s="4"/>
      <c r="B22" s="129" t="s">
        <v>269</v>
      </c>
      <c r="C22" s="18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IF(C24="Sí",ROUND(C4*SUM(D24:D26)/100,2),0)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65" thickBot="1" x14ac:dyDescent="0.5">
      <c r="A23" s="4"/>
      <c r="B23" s="129" t="s">
        <v>334</v>
      </c>
      <c r="C23" s="18" t="s">
        <v>138</v>
      </c>
      <c r="D23" s="4"/>
      <c r="E23" s="4"/>
      <c r="F23" s="4"/>
      <c r="G23" s="4"/>
      <c r="H23" s="4"/>
      <c r="I23" s="4"/>
      <c r="J23" s="36" t="s">
        <v>335</v>
      </c>
      <c r="K23" s="61"/>
      <c r="L23" s="53">
        <f>IF(C23="Sí",ROUND(Datos!E96*'Catedráticos Secundaria'!C4/100,2),0)</f>
        <v>0</v>
      </c>
      <c r="M23" s="53"/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65" thickBot="1" x14ac:dyDescent="0.5">
      <c r="A24" s="4"/>
      <c r="B24" s="129" t="s">
        <v>144</v>
      </c>
      <c r="C24" s="18" t="s">
        <v>138</v>
      </c>
      <c r="D24" s="4">
        <f>IF(C24="No",0,Datos!E102)</f>
        <v>0</v>
      </c>
      <c r="E24" s="4"/>
      <c r="F24" s="4"/>
      <c r="G24" s="4"/>
      <c r="H24" s="4"/>
      <c r="I24" s="4"/>
      <c r="J24" s="36" t="s">
        <v>153</v>
      </c>
      <c r="K24" s="61"/>
      <c r="L24" s="53">
        <f>IF(C27="Sí",ROUND(C4*MIN(D28:D37)/100,2),0)</f>
        <v>0</v>
      </c>
      <c r="M24" s="53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65" thickBot="1" x14ac:dyDescent="0.5">
      <c r="A25" s="4"/>
      <c r="B25" s="13" t="s">
        <v>142</v>
      </c>
      <c r="C25" s="18" t="s">
        <v>138</v>
      </c>
      <c r="D25" s="4">
        <f>IF(AND(C24="Sí",C25="Sí"),Datos!E103,0)</f>
        <v>0</v>
      </c>
      <c r="E25" s="4"/>
      <c r="F25" s="4"/>
      <c r="G25" s="4"/>
      <c r="H25" s="4"/>
      <c r="I25" s="4"/>
      <c r="J25" s="36" t="s">
        <v>273</v>
      </c>
      <c r="K25" s="62"/>
      <c r="L25" s="53">
        <f>IF(D21&gt;0,ROUND(C4*MAX(E28:E34,G28:G34)*D21/100,2),0)</f>
        <v>0</v>
      </c>
      <c r="M25" s="53">
        <f>L25</f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65" thickBot="1" x14ac:dyDescent="0.5">
      <c r="A26" s="4"/>
      <c r="B26" s="12" t="s">
        <v>143</v>
      </c>
      <c r="C26" s="19">
        <v>0</v>
      </c>
      <c r="D26" s="4">
        <f>IF(C24="Sí",C26*Datos!E104,0)</f>
        <v>0</v>
      </c>
      <c r="E26" s="4"/>
      <c r="F26" s="4"/>
      <c r="G26" s="4"/>
      <c r="H26" s="4"/>
      <c r="I26" s="4"/>
      <c r="J26" s="54" t="s">
        <v>283</v>
      </c>
      <c r="K26" s="63"/>
      <c r="L26" s="55">
        <f>IF(C21="Sí",ROUND(Datos!E92*C4/100,2),0)</f>
        <v>0</v>
      </c>
      <c r="M26" s="55">
        <f t="shared" si="1"/>
        <v>0</v>
      </c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4.65" thickBot="1" x14ac:dyDescent="0.5">
      <c r="A27" s="4"/>
      <c r="B27" s="129" t="s">
        <v>145</v>
      </c>
      <c r="C27" s="18" t="s">
        <v>138</v>
      </c>
      <c r="D27" s="4"/>
      <c r="E27" s="4" t="s">
        <v>125</v>
      </c>
      <c r="F27" s="4" t="s">
        <v>154</v>
      </c>
      <c r="G27" s="4" t="s">
        <v>280</v>
      </c>
      <c r="H27" s="4" t="s">
        <v>281</v>
      </c>
      <c r="I27" s="4"/>
      <c r="J27" s="57" t="s">
        <v>162</v>
      </c>
      <c r="K27" s="58"/>
      <c r="L27" s="59"/>
      <c r="M27" s="58"/>
      <c r="Q27" s="22"/>
      <c r="R27" s="2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3" t="s">
        <v>146</v>
      </c>
      <c r="C28" s="18">
        <v>0</v>
      </c>
      <c r="D28" s="4">
        <f>IF($C$28&lt;=50,Datos!E107,"")</f>
        <v>17.649999999999999</v>
      </c>
      <c r="E28" s="4" t="str">
        <f>IF(AND(C11=D5,$D12=$D$14,$C$14=F13),Datos!E64,"")</f>
        <v/>
      </c>
      <c r="F28" s="4" t="str">
        <f>IF(AND(OR($C$13=$D$15,$C$13=$D$16),$C$14=F13,C11=D5),Datos!E68,"")</f>
        <v/>
      </c>
      <c r="G28" s="4" t="str">
        <f>IF(AND(C11=D6,$D12=$D$14,$C$14=F13),Datos!E32,"")</f>
        <v/>
      </c>
      <c r="H28" s="4" t="str">
        <f>IF(AND(OR($C$13=$D$15,$C$13=$D$16),$C$14=F13,C11=D6),Datos!E38,"")</f>
        <v/>
      </c>
      <c r="I28" s="4"/>
      <c r="J28" s="7" t="s">
        <v>231</v>
      </c>
      <c r="K28" s="40"/>
      <c r="L28" s="20">
        <f>IF(OR(C30="Funcionario/a de carrera",C30="Funcionario/a en prácticas"),51.68,0)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71" t="s">
        <v>233</v>
      </c>
      <c r="C29" s="172"/>
      <c r="D29" s="4">
        <f>IF($C$28&lt;=100,Datos!E108,"")</f>
        <v>35.32</v>
      </c>
      <c r="E29" s="4" t="str">
        <f>IF(AND(C11=D5,$D$12=$D$14,$C$14=F14),Datos!E65,"")</f>
        <v/>
      </c>
      <c r="F29" s="4" t="str">
        <f>IF(AND(OR($C$13=$D$15,$C$13=$D$16),$C$14=F14,C11=D5),Datos!E69,"")</f>
        <v/>
      </c>
      <c r="G29" s="4" t="str">
        <f>IF(AND(C11=D6,$D12=$D$14,$C$14=F14),Datos!E33,"")</f>
        <v/>
      </c>
      <c r="H29" s="4" t="str">
        <f>IF(AND(OR($C$13=$D$15,$C$13=$D$16),$C$14=F14,C11=D6),Datos!E39,"")</f>
        <v/>
      </c>
      <c r="I29" s="4"/>
      <c r="J29" s="7" t="s">
        <v>232</v>
      </c>
      <c r="K29" s="40"/>
      <c r="L29" s="20">
        <f>IF(AND(L28&gt;0,C31&lt;2011,C31&gt;0),118.04,0)</f>
        <v>0</v>
      </c>
      <c r="M29" s="49">
        <f>L29</f>
        <v>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4.65" thickBot="1" x14ac:dyDescent="0.5">
      <c r="A30" s="4"/>
      <c r="B30" s="129" t="s">
        <v>158</v>
      </c>
      <c r="C30" s="18" t="s">
        <v>161</v>
      </c>
      <c r="D30" s="4">
        <f>IF($C$28&lt;=150,Datos!E109,"")</f>
        <v>52.97</v>
      </c>
      <c r="E30" s="4" t="str">
        <f>IF(AND(C11=D5,$D$12=$D$14,$C$14=F15),Datos!E66,"")</f>
        <v/>
      </c>
      <c r="F30" s="4" t="str">
        <f>IF(AND(OR($C$13=$D$15,$C$13=$D$16),$C$14=F15,C11=D5),Datos!E70,"")</f>
        <v/>
      </c>
      <c r="G30" s="4" t="str">
        <f>IF(AND(C11=D6,$D12=$D$14,$C$14=F15),Datos!E34,"")</f>
        <v/>
      </c>
      <c r="H30" s="4" t="str">
        <f>IF(AND(OR($C$13=$D$15,$C$13=$D$16),$C$14=F15,C11=D6),Datos!E40,"")</f>
        <v/>
      </c>
      <c r="I30" s="4"/>
      <c r="J30" s="7" t="s">
        <v>163</v>
      </c>
      <c r="K30" s="40"/>
      <c r="L30" s="20">
        <f>IF(OR(C30=A37,AND(C30=A36,C31&gt;=2011)),(L4+(M4/6))*L69,0)</f>
        <v>0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29" t="str">
        <f>IF(C30=A36,"¿En qué año aprobaste la oposición?","")</f>
        <v/>
      </c>
      <c r="C31" s="18"/>
      <c r="D31" s="4">
        <f>IF($C$28&lt;=200,Datos!E110,"")</f>
        <v>70.64</v>
      </c>
      <c r="E31" s="4" t="str">
        <f>IF(AND(C11=D5,$D$12=$D$14,$C$14=F16),Datos!E67,"")</f>
        <v/>
      </c>
      <c r="F31" s="4" t="str">
        <f>IF(AND(OR($C$13=$D$15,$C$13=$D$16),$C$14=F16,C11=D5),Datos!E71,"")</f>
        <v/>
      </c>
      <c r="G31" s="4" t="str">
        <f>IF(AND(C11=D6,$D12=$D$14,$C$14=F13),Datos!E35,"")</f>
        <v/>
      </c>
      <c r="H31" s="4" t="str">
        <f>IF(AND(OR($C$13=$D$15,$C$13=$D$16),$C$14=F16,C11=D6),Datos!E41,"")</f>
        <v/>
      </c>
      <c r="I31" s="4"/>
      <c r="J31" s="7" t="s">
        <v>164</v>
      </c>
      <c r="K31" s="40"/>
      <c r="L31" s="46">
        <f>IF(C30=A38,L4*0.0647+M4*0.0647/6,0)</f>
        <v>238.13600616666662</v>
      </c>
      <c r="M31" s="9">
        <v>0</v>
      </c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71" t="s">
        <v>169</v>
      </c>
      <c r="C32" s="172"/>
      <c r="D32" s="4">
        <f>IF($C$28&lt;=250,Datos!E111,"")</f>
        <v>88.29</v>
      </c>
      <c r="E32" s="4" t="str">
        <f>IF(AND($C$13=$D$14,$C$15&lt;&gt;"",$C$15&lt;&gt;$G$13,$C$14=F17),Datos!E36,"")</f>
        <v/>
      </c>
      <c r="F32" s="4"/>
      <c r="G32" s="4" t="str">
        <f>IF(AND(C11=D6,$D12=$D$14,$C$14=F16),Datos!E36,"")</f>
        <v/>
      </c>
      <c r="H32" s="4" t="str">
        <f>IF(AND(OR($C$13=$D$15,$C$13=$D$16),$C$14=F17,C11=D6),Datos!E42,"")</f>
        <v/>
      </c>
      <c r="I32" s="4"/>
      <c r="J32" s="14" t="s">
        <v>165</v>
      </c>
      <c r="K32" s="48">
        <f>L62</f>
        <v>0.20411878257774627</v>
      </c>
      <c r="L32" s="47">
        <f>L4*K32</f>
        <v>659.44655087392482</v>
      </c>
      <c r="M32" s="50">
        <f>M4*K32</f>
        <v>551.0206947564518</v>
      </c>
      <c r="O32" s="4"/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171</v>
      </c>
      <c r="C33" s="18" t="s">
        <v>138</v>
      </c>
      <c r="D33" s="4">
        <f>IF($C$28&lt;=300,Datos!E112,"")</f>
        <v>105.96</v>
      </c>
      <c r="E33" s="4" t="str">
        <f>IF(AND($C$13=$D$14,$C$15&lt;&gt;"",$C$15&lt;&gt;$G$13,$C$14=F18),Datos!E37,"")</f>
        <v/>
      </c>
      <c r="F33" s="4"/>
      <c r="G33" s="4" t="str">
        <f>IF(AND(C11=D6,$D12=$D$14,$C$14=F17),Datos!E37,"")</f>
        <v/>
      </c>
      <c r="H33" s="4"/>
      <c r="I33" s="4"/>
      <c r="O33" s="4" t="s">
        <v>176</v>
      </c>
      <c r="P33" s="4"/>
      <c r="Q33" s="4"/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191</v>
      </c>
      <c r="C34" s="116">
        <v>0</v>
      </c>
      <c r="D34" s="4">
        <f>IF($C$28&lt;=350,Datos!E113,"")</f>
        <v>123.62</v>
      </c>
      <c r="E34" s="4"/>
      <c r="F34" s="4" t="str">
        <f>IF(AND(OR($C$13=$D$15,$C$13=$D$16),$C$15&lt;&gt;"",$C$15&lt;&gt;$G$13,$C$14=F19),Datos!E44,"")</f>
        <v/>
      </c>
      <c r="G34" s="4" t="str">
        <f>IF(AND(C11=D6,$D12=$D$14,$C$14=F18),Datos!E38,"")</f>
        <v/>
      </c>
      <c r="H34" s="4"/>
      <c r="I34" s="4"/>
      <c r="O34" s="4" t="s">
        <v>177</v>
      </c>
      <c r="P34" s="4">
        <v>2400</v>
      </c>
      <c r="Q34" s="4">
        <v>2400</v>
      </c>
      <c r="R34" s="4"/>
      <c r="S34" s="4"/>
      <c r="T34" s="4"/>
      <c r="U34" s="4"/>
      <c r="V34" s="4"/>
      <c r="W34" s="4"/>
    </row>
    <row r="35" spans="1:23" ht="14.65" thickBot="1" x14ac:dyDescent="0.5">
      <c r="A35" s="4"/>
      <c r="B35" s="129" t="s">
        <v>190</v>
      </c>
      <c r="C35" s="116">
        <v>0</v>
      </c>
      <c r="D35" s="4">
        <f>IF($C$28&lt;=450,Datos!E114,"")</f>
        <v>141.27000000000001</v>
      </c>
      <c r="E35" s="4"/>
      <c r="F35" s="4"/>
      <c r="G35" s="4"/>
      <c r="H35" s="4"/>
      <c r="I35" s="4"/>
      <c r="J35" s="74" t="s">
        <v>167</v>
      </c>
      <c r="K35" s="75"/>
      <c r="L35" s="76"/>
      <c r="O35" s="4" t="s">
        <v>178</v>
      </c>
      <c r="P35" s="4">
        <v>2700</v>
      </c>
      <c r="Q35" s="4">
        <f>Q34+P35</f>
        <v>5100</v>
      </c>
      <c r="R35" s="4"/>
      <c r="S35" s="4"/>
      <c r="T35" s="4"/>
      <c r="U35" s="4"/>
      <c r="V35" s="4"/>
      <c r="W35" s="4"/>
    </row>
    <row r="36" spans="1:23" ht="14.65" thickBot="1" x14ac:dyDescent="0.5">
      <c r="A36" s="4" t="s">
        <v>159</v>
      </c>
      <c r="B36" s="41" t="s">
        <v>174</v>
      </c>
      <c r="C36" s="18">
        <v>0</v>
      </c>
      <c r="D36" s="4">
        <f>IF($C$28&lt;=450,Datos!E115,"")</f>
        <v>158.94</v>
      </c>
      <c r="E36" s="4"/>
      <c r="F36" s="4"/>
      <c r="G36" s="4"/>
      <c r="H36" s="4"/>
      <c r="I36" s="4"/>
      <c r="J36" s="36" t="s">
        <v>168</v>
      </c>
      <c r="K36" s="37"/>
      <c r="L36" s="70">
        <f>L4*12+M4*2</f>
        <v>44167.419999999991</v>
      </c>
      <c r="O36" s="4" t="s">
        <v>179</v>
      </c>
      <c r="P36" s="4">
        <v>4000</v>
      </c>
      <c r="Q36" s="4">
        <f>Q35+P36</f>
        <v>9100</v>
      </c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160</v>
      </c>
      <c r="B37" s="129" t="s">
        <v>173</v>
      </c>
      <c r="C37" s="18">
        <v>0</v>
      </c>
      <c r="D37" s="4">
        <f>IF($C$28&lt;=1000050,Datos!E116,"")</f>
        <v>176.59</v>
      </c>
      <c r="E37" s="4"/>
      <c r="F37" s="4"/>
      <c r="G37" s="4"/>
      <c r="H37" s="4"/>
      <c r="I37" s="4"/>
      <c r="J37" s="7" t="s">
        <v>259</v>
      </c>
      <c r="K37" s="8"/>
      <c r="L37" s="9">
        <f>IF(AND(C48="Sí",L36&lt;33007.2),TRUNC(L36*0.02),0)</f>
        <v>0</v>
      </c>
      <c r="M37" s="22"/>
      <c r="N37" s="22"/>
      <c r="O37" s="4" t="s">
        <v>180</v>
      </c>
      <c r="P37" s="4">
        <v>4500</v>
      </c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161</v>
      </c>
      <c r="B38" s="131" t="s">
        <v>196</v>
      </c>
      <c r="C38" s="18" t="s">
        <v>138</v>
      </c>
      <c r="D38" s="4" t="str">
        <f>IF(B70=A69,"Sí","No")</f>
        <v>No</v>
      </c>
      <c r="E38" s="4"/>
      <c r="F38" s="4"/>
      <c r="G38" s="4"/>
      <c r="H38" s="4"/>
      <c r="I38" s="4"/>
      <c r="J38" s="7" t="s">
        <v>265</v>
      </c>
      <c r="K38" s="8"/>
      <c r="L38" s="9">
        <f>IF(L36-L39&lt;14582,7302,IF(L36-L39&lt;17673.52,7302-(1.75*(L36-L39-14852)),IF(L36-L39&lt;19747.5,2364.34-(1.14*(L36-L39-17673.52)),0)))</f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182</v>
      </c>
      <c r="B39" s="129" t="s">
        <v>181</v>
      </c>
      <c r="C39" s="18" t="s">
        <v>182</v>
      </c>
      <c r="D39" s="4"/>
      <c r="E39" s="4"/>
      <c r="F39" s="4"/>
      <c r="G39" s="4"/>
      <c r="H39" s="4"/>
      <c r="I39" s="4"/>
      <c r="J39" s="36" t="s">
        <v>236</v>
      </c>
      <c r="K39" s="37"/>
      <c r="L39" s="70">
        <f>SUM(L28:L31)*14+SUM(M28:M31)*2</f>
        <v>3333.9040863333325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184</v>
      </c>
      <c r="B40" s="131" t="s">
        <v>189</v>
      </c>
      <c r="C40" s="18" t="s">
        <v>138</v>
      </c>
      <c r="D40" s="4"/>
      <c r="E40" s="4"/>
      <c r="F40" s="4"/>
      <c r="G40" s="4"/>
      <c r="H40" s="4"/>
      <c r="I40" s="4"/>
      <c r="J40" s="36" t="s">
        <v>241</v>
      </c>
      <c r="K40" s="37"/>
      <c r="L40" s="70">
        <f>C34+2000+M41</f>
        <v>2000</v>
      </c>
      <c r="M40" s="4"/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thickBot="1" x14ac:dyDescent="0.5">
      <c r="A41" s="4" t="s">
        <v>183</v>
      </c>
      <c r="B41" s="129" t="s">
        <v>192</v>
      </c>
      <c r="C41" s="18">
        <v>0</v>
      </c>
      <c r="D41" s="4"/>
      <c r="E41" s="4"/>
      <c r="F41" s="4"/>
      <c r="G41" s="4"/>
      <c r="H41" s="4"/>
      <c r="I41" s="4"/>
      <c r="J41" s="36" t="s">
        <v>170</v>
      </c>
      <c r="K41" s="37"/>
      <c r="L41" s="70">
        <f>IF(C33="Sí",1150+5550,5550)</f>
        <v>5550</v>
      </c>
      <c r="M41" s="4">
        <f>IF(AND(C39=A42,C40="No"),3500,IF(OR(C39=A41,C39=A42),7750,0))</f>
        <v>0</v>
      </c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 t="s">
        <v>185</v>
      </c>
      <c r="B42" s="173" t="s">
        <v>207</v>
      </c>
      <c r="C42" s="175">
        <v>0</v>
      </c>
      <c r="D42" s="4"/>
      <c r="E42" s="4"/>
      <c r="F42" s="4"/>
      <c r="G42" s="4"/>
      <c r="H42" s="4"/>
      <c r="I42" s="4"/>
      <c r="J42" s="36" t="s">
        <v>172</v>
      </c>
      <c r="K42" s="37"/>
      <c r="L42" s="70">
        <f>SUM(C71:C74)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x14ac:dyDescent="0.45">
      <c r="A43" s="4"/>
      <c r="B43" s="173"/>
      <c r="C43" s="176"/>
      <c r="D43" s="4"/>
      <c r="E43" s="4"/>
      <c r="F43" s="4"/>
      <c r="G43" s="4"/>
      <c r="H43" s="4"/>
      <c r="I43" s="4"/>
      <c r="J43" s="36" t="s">
        <v>175</v>
      </c>
      <c r="K43" s="37"/>
      <c r="L43" s="70">
        <f>IF(C38="no",M49/2+1400*C37,M49+2800*C37)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thickBot="1" x14ac:dyDescent="0.5">
      <c r="A44" s="4"/>
      <c r="B44" s="174"/>
      <c r="C44" s="177"/>
      <c r="D44" s="4"/>
      <c r="E44" s="4"/>
      <c r="F44" s="4"/>
      <c r="G44" s="4"/>
      <c r="H44" s="4"/>
      <c r="I44" s="4"/>
      <c r="J44" s="36" t="s">
        <v>186</v>
      </c>
      <c r="K44" s="37"/>
      <c r="L44" s="70">
        <f>IF(C39=A41,9000,IF(C39=A42,3000,0))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8" t="s">
        <v>207</v>
      </c>
      <c r="C45" s="175">
        <v>0</v>
      </c>
      <c r="D45" s="4"/>
      <c r="E45" s="4"/>
      <c r="F45" s="4"/>
      <c r="G45" s="4"/>
      <c r="H45" s="4"/>
      <c r="I45" s="4"/>
      <c r="J45" s="36" t="s">
        <v>187</v>
      </c>
      <c r="K45" s="37"/>
      <c r="L45" s="70">
        <f>SUM(C75:C78)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x14ac:dyDescent="0.45">
      <c r="A46" s="4"/>
      <c r="B46" s="173"/>
      <c r="C46" s="176"/>
      <c r="D46" s="4"/>
      <c r="E46" s="4"/>
      <c r="F46" s="4"/>
      <c r="G46" s="4"/>
      <c r="H46" s="4"/>
      <c r="I46" s="4"/>
      <c r="J46" s="36" t="s">
        <v>188</v>
      </c>
      <c r="K46" s="37"/>
      <c r="L46" s="70">
        <f>IF(C38="Sí",M51,M51/2)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4"/>
      <c r="B47" s="174"/>
      <c r="C47" s="177"/>
      <c r="D47" s="4"/>
      <c r="E47" s="4"/>
      <c r="F47" s="4"/>
      <c r="G47" s="4"/>
      <c r="H47" s="4"/>
      <c r="I47" s="4"/>
      <c r="J47" s="36" t="s">
        <v>206</v>
      </c>
      <c r="K47" s="37"/>
      <c r="L47" s="70">
        <f>IF(OR(C40="Sí",C39=A41),3000,0)</f>
        <v>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267</v>
      </c>
      <c r="C48" s="18" t="s">
        <v>138</v>
      </c>
      <c r="D48" s="4"/>
      <c r="E48" s="4"/>
      <c r="F48" s="4"/>
      <c r="G48" s="4"/>
      <c r="H48" s="4"/>
      <c r="I48" s="4"/>
      <c r="J48" s="7" t="s">
        <v>208</v>
      </c>
      <c r="K48" s="8"/>
      <c r="L48" s="9">
        <f>SUM(L41:L47)</f>
        <v>5550</v>
      </c>
      <c r="M48" s="4"/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129" t="s">
        <v>260</v>
      </c>
      <c r="C49" s="117"/>
      <c r="D49" s="4"/>
      <c r="E49" s="4"/>
      <c r="F49" s="4"/>
      <c r="G49" s="4"/>
      <c r="H49" s="4"/>
      <c r="I49" s="4"/>
      <c r="J49" s="7" t="s">
        <v>209</v>
      </c>
      <c r="K49" s="8"/>
      <c r="L49" s="9">
        <f>MAX(0,L36-L39-L40-L38)</f>
        <v>38833.515913666655</v>
      </c>
      <c r="M49" s="4">
        <f>IF(C36=1,Q34,IF(C36=2,Q35,IF(C36=3,Q36,IF(C36&lt;1,0,Q36+4500*(C36-3)))))</f>
        <v>0</v>
      </c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193</v>
      </c>
      <c r="C50" s="109"/>
      <c r="D50" s="4"/>
      <c r="E50" s="4"/>
      <c r="F50" s="4"/>
      <c r="G50" s="4"/>
      <c r="H50" s="4"/>
      <c r="I50" s="4"/>
      <c r="J50" s="7" t="s">
        <v>210</v>
      </c>
      <c r="K50" s="8"/>
      <c r="L50" s="9">
        <f>IF(L48&gt;12450,0,MAX(0,MIN(12450,L49)-L48))</f>
        <v>6900</v>
      </c>
      <c r="M50" s="4"/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194</v>
      </c>
      <c r="C51" s="109"/>
      <c r="D51" s="4"/>
      <c r="E51" s="4"/>
      <c r="F51" s="4"/>
      <c r="G51" s="4"/>
      <c r="H51" s="4"/>
      <c r="I51" s="4"/>
      <c r="J51" s="7" t="s">
        <v>211</v>
      </c>
      <c r="K51" s="8"/>
      <c r="L51" s="9">
        <f>IF(IF(L48&gt;20200,0,IF(L49&gt;20200,MIN(20200-L48,20200-12450),MIN(L49-L48,L49-12450)))&lt;0,0,IF(L48&gt;20200,0,IF(L49&gt;20200,MIN(20200-L48,20200-12450),MIN(L49-L48,L49-12450))))</f>
        <v>7750</v>
      </c>
      <c r="M51" s="4">
        <f>C41*12000+C42*6000+C45*3000</f>
        <v>0</v>
      </c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22"/>
      <c r="B52" s="25" t="s">
        <v>201</v>
      </c>
      <c r="C52" s="18"/>
      <c r="D52" s="4"/>
      <c r="E52" s="4"/>
      <c r="F52" s="4"/>
      <c r="G52" s="4"/>
      <c r="H52" s="4"/>
      <c r="I52" s="4"/>
      <c r="J52" s="7" t="s">
        <v>212</v>
      </c>
      <c r="K52" s="8"/>
      <c r="L52" s="9">
        <f>IF(IF(L48&gt;35200,0,IF(L49&gt;35200,MIN(35200-L48,35200-20200),MIN(L49-L48,L49-20200)))&lt;0,0,IF(L48&gt;35200,0,IF(L49&gt;35200,MIN(35200-L48,35200-20200),MIN(L49-L48,L49-20200))))</f>
        <v>15000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26" t="s">
        <v>195</v>
      </c>
      <c r="C53" s="109"/>
      <c r="D53" s="4"/>
      <c r="E53" s="4"/>
      <c r="F53" s="4"/>
      <c r="G53" s="4"/>
      <c r="H53" s="4"/>
      <c r="I53" s="4"/>
      <c r="J53" s="7" t="s">
        <v>213</v>
      </c>
      <c r="K53" s="8"/>
      <c r="L53" s="9">
        <f>IF(IF(L48&gt;60000,0,IF(L49&gt;60000,MIN(35200-L48,60000-35200),MIN(L49-L48,L49-35200)))&lt;0,0,IF(L48&gt;60000,0,IF(L49&gt;60000,MIN(35200-L48,60000-35200),MIN(L49-L48,L49-35200))))</f>
        <v>3633.5159136666553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129" t="s">
        <v>261</v>
      </c>
      <c r="C54" s="117"/>
      <c r="H54" s="4"/>
      <c r="I54" s="4"/>
      <c r="J54" s="7" t="s">
        <v>214</v>
      </c>
      <c r="K54" s="8"/>
      <c r="L54" s="9">
        <f>IF(IF(L48&gt;30000,0,IF(L49&gt;300000,MIN(60000-L48,300000-60000),MIN(L49-L48,L49-60000)))&lt;0,0,IF(L48&gt;30000,0,IF(L49&gt;300000,MIN(60000-L48,300000-60000),MIN(L49-L48,L49-60000))))</f>
        <v>0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193</v>
      </c>
      <c r="C55" s="109"/>
      <c r="H55" s="4"/>
      <c r="I55" s="4"/>
      <c r="J55" s="7" t="s">
        <v>215</v>
      </c>
      <c r="K55" s="8"/>
      <c r="L55" s="9">
        <f>ROUND(L50*0.19,2)</f>
        <v>1311</v>
      </c>
      <c r="M55" s="4"/>
      <c r="N55" s="4"/>
      <c r="O55" s="22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194</v>
      </c>
      <c r="C56" s="109"/>
      <c r="G56" s="4"/>
      <c r="H56" s="4"/>
      <c r="I56" s="4"/>
      <c r="J56" s="7" t="s">
        <v>216</v>
      </c>
      <c r="K56" s="8"/>
      <c r="L56" s="9">
        <f>ROUND(L51*0.24,2)</f>
        <v>1860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5" t="s">
        <v>201</v>
      </c>
      <c r="C57" s="18"/>
      <c r="G57" s="4"/>
      <c r="H57" s="4"/>
      <c r="I57" s="4"/>
      <c r="J57" s="7" t="s">
        <v>217</v>
      </c>
      <c r="K57" s="8"/>
      <c r="L57" s="9">
        <f>ROUND(L52*0.3,2)</f>
        <v>4500</v>
      </c>
      <c r="M57" s="4"/>
      <c r="N57" s="4"/>
      <c r="P57" s="4"/>
      <c r="Q57" s="4"/>
      <c r="R57" s="4"/>
      <c r="S57" s="4"/>
      <c r="T57" s="4"/>
      <c r="U57" s="4"/>
      <c r="V57" s="4"/>
      <c r="W57" s="4"/>
    </row>
    <row r="58" spans="1:23" ht="14.75" customHeight="1" thickBot="1" x14ac:dyDescent="0.5">
      <c r="A58" s="4"/>
      <c r="B58" s="26" t="s">
        <v>195</v>
      </c>
      <c r="C58" s="109"/>
      <c r="G58" s="4"/>
      <c r="H58" s="4"/>
      <c r="I58" s="4"/>
      <c r="J58" s="7" t="s">
        <v>218</v>
      </c>
      <c r="K58" s="8"/>
      <c r="L58" s="9">
        <f>ROUND(L53*0.37,2)</f>
        <v>1344.4</v>
      </c>
      <c r="M58" s="4"/>
      <c r="N58" s="4"/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129" t="s">
        <v>262</v>
      </c>
      <c r="C59" s="117"/>
      <c r="G59" s="4"/>
      <c r="H59" s="4"/>
      <c r="I59" s="4"/>
      <c r="J59" s="7" t="s">
        <v>219</v>
      </c>
      <c r="K59" s="8"/>
      <c r="L59" s="9">
        <f>ROUND(L54*0.45,2)</f>
        <v>0</v>
      </c>
      <c r="M59" s="4"/>
      <c r="N59" s="4"/>
      <c r="O59" s="22"/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193</v>
      </c>
      <c r="C60" s="109"/>
      <c r="G60" s="4"/>
      <c r="H60" s="4"/>
      <c r="I60" s="4"/>
      <c r="J60" s="7" t="s">
        <v>266</v>
      </c>
      <c r="K60" s="8"/>
      <c r="L60" s="49">
        <f>SUM(L55:L59)</f>
        <v>9015.4</v>
      </c>
      <c r="M60" s="4"/>
      <c r="N60" s="4"/>
      <c r="O60" s="22"/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5" t="s">
        <v>194</v>
      </c>
      <c r="C61" s="109"/>
      <c r="G61" s="4"/>
      <c r="H61" s="4"/>
      <c r="I61" s="4"/>
      <c r="J61" s="7" t="s">
        <v>264</v>
      </c>
      <c r="K61" s="8"/>
      <c r="L61" s="49">
        <f>MAX(0,C130-L37)</f>
        <v>9015.4008880566616</v>
      </c>
      <c r="M61" s="4"/>
      <c r="N61" s="4">
        <f>IF(L36&lt;=35200,IF(B70=A69,1,IF(B70=A70,2,(IF(B70=A71,3,0)))),0)</f>
        <v>0</v>
      </c>
      <c r="O61" s="22"/>
      <c r="P61" s="4"/>
      <c r="Q61" s="4"/>
      <c r="R61" s="4"/>
      <c r="S61" s="4"/>
      <c r="T61" s="4"/>
      <c r="U61" s="4"/>
      <c r="V61" s="4"/>
      <c r="W61" s="4"/>
    </row>
    <row r="62" spans="1:23" ht="14.65" thickBot="1" x14ac:dyDescent="0.5">
      <c r="A62" s="4"/>
      <c r="B62" s="27" t="s">
        <v>201</v>
      </c>
      <c r="C62" s="18"/>
      <c r="G62" s="4"/>
      <c r="H62" s="4"/>
      <c r="I62" s="4"/>
      <c r="J62" s="80" t="s">
        <v>220</v>
      </c>
      <c r="K62" s="81"/>
      <c r="L62" s="82">
        <f>IF(M62&lt;0.02,0.02,M62)</f>
        <v>0.20411878257774627</v>
      </c>
      <c r="M62" s="4">
        <f>IF(L61&lt;L60,L61/L36,L60/L36)</f>
        <v>0.20411878257774627</v>
      </c>
      <c r="N62" s="4">
        <f>IF(N61=1,(IF(C36=1,0.43*(L36-17644),IF(C36&gt;2,0.43*(L36-18694),1000000))),1000000)</f>
        <v>1000000</v>
      </c>
      <c r="O62" s="22"/>
    </row>
    <row r="63" spans="1:23" ht="14.65" thickBot="1" x14ac:dyDescent="0.5">
      <c r="A63" s="4"/>
      <c r="B63" s="26" t="s">
        <v>195</v>
      </c>
      <c r="C63" s="109"/>
      <c r="G63" s="4"/>
      <c r="H63" s="4"/>
      <c r="I63" s="4"/>
      <c r="M63" s="4"/>
      <c r="N63" s="4">
        <f>IF(N61=2,(IF(C36=1,0.43*(L36-18130),IF(C36&gt;1,0.43*(L36-19262),0.43*(L36-17197)))),1000000)</f>
        <v>1000000</v>
      </c>
      <c r="O63" s="22"/>
    </row>
    <row r="64" spans="1:23" ht="14.65" thickBot="1" x14ac:dyDescent="0.5">
      <c r="A64" s="4"/>
      <c r="B64" s="129" t="s">
        <v>263</v>
      </c>
      <c r="C64" s="117"/>
      <c r="G64" s="4"/>
      <c r="H64" s="4"/>
      <c r="I64" s="4"/>
      <c r="J64" s="74" t="s">
        <v>222</v>
      </c>
      <c r="K64" s="77"/>
      <c r="L64" s="78"/>
      <c r="M64" s="4"/>
      <c r="N64" s="4">
        <f>IF(N61=3,(IF(C36=1,0.43*(L36-16342),IF(C36&gt;1,0.43*(L36-16867),0.43*(L36-15876)))),1000000)</f>
        <v>1000000</v>
      </c>
      <c r="O64" s="22"/>
    </row>
    <row r="65" spans="1:15" ht="14.65" thickBot="1" x14ac:dyDescent="0.5">
      <c r="A65" s="4"/>
      <c r="B65" s="25" t="s">
        <v>193</v>
      </c>
      <c r="C65" s="109"/>
      <c r="G65" s="4"/>
      <c r="H65" s="4"/>
      <c r="I65" s="4"/>
      <c r="J65" s="7" t="s">
        <v>224</v>
      </c>
      <c r="L65" s="71">
        <v>4.7E-2</v>
      </c>
      <c r="M65" s="4"/>
      <c r="N65" s="4"/>
      <c r="O65" s="22"/>
    </row>
    <row r="66" spans="1:15" ht="14.65" thickBot="1" x14ac:dyDescent="0.5">
      <c r="A66" s="4"/>
      <c r="B66" s="25" t="s">
        <v>194</v>
      </c>
      <c r="C66" s="109"/>
      <c r="G66" s="4"/>
      <c r="H66" s="4"/>
      <c r="I66" s="4"/>
      <c r="J66" s="7" t="s">
        <v>225</v>
      </c>
      <c r="L66" s="71">
        <v>1.1999999999999999E-3</v>
      </c>
      <c r="M66" s="22"/>
      <c r="N66" s="22"/>
      <c r="O66" s="22"/>
    </row>
    <row r="67" spans="1:15" ht="14.65" thickBot="1" x14ac:dyDescent="0.5">
      <c r="A67" s="4"/>
      <c r="B67" s="27" t="s">
        <v>201</v>
      </c>
      <c r="C67" s="18"/>
      <c r="G67" s="4"/>
      <c r="H67" s="4"/>
      <c r="I67" s="4"/>
      <c r="J67" s="7" t="s">
        <v>230</v>
      </c>
      <c r="L67" s="71">
        <v>0.28299999999999997</v>
      </c>
    </row>
    <row r="68" spans="1:15" ht="14.65" thickBot="1" x14ac:dyDescent="0.5">
      <c r="A68" s="4"/>
      <c r="B68" s="27" t="s">
        <v>195</v>
      </c>
      <c r="C68" s="109"/>
      <c r="G68" s="4"/>
      <c r="H68" s="4"/>
      <c r="I68" s="4"/>
      <c r="J68" s="7" t="s">
        <v>229</v>
      </c>
      <c r="L68" s="40">
        <v>1.0999999999999999E-2</v>
      </c>
    </row>
    <row r="69" spans="1:15" ht="14.65" thickBot="1" x14ac:dyDescent="0.5">
      <c r="A69" s="30" t="s">
        <v>240</v>
      </c>
      <c r="B69" s="41" t="s">
        <v>237</v>
      </c>
      <c r="C69" s="69">
        <f>IF(B70=A69,1,IF(B70=A70,2,IF(B70=A71,3,0)))</f>
        <v>3</v>
      </c>
      <c r="G69" s="4"/>
      <c r="H69" s="4"/>
      <c r="I69" s="4"/>
      <c r="J69" s="80" t="s">
        <v>228</v>
      </c>
      <c r="K69" s="81"/>
      <c r="L69" s="83">
        <f>L65+L66-ROUND((L67*L68),4)</f>
        <v>4.5100000000000001E-2</v>
      </c>
    </row>
    <row r="70" spans="1:15" ht="42" customHeight="1" thickBot="1" x14ac:dyDescent="0.5">
      <c r="A70" s="30" t="s">
        <v>238</v>
      </c>
      <c r="B70" s="161" t="s">
        <v>239</v>
      </c>
      <c r="C70" s="162"/>
      <c r="G70" s="4"/>
      <c r="H70" s="4"/>
      <c r="I70" s="4"/>
    </row>
    <row r="71" spans="1:15" x14ac:dyDescent="0.45">
      <c r="A71" s="30" t="s">
        <v>239</v>
      </c>
      <c r="B71" s="4" t="s">
        <v>197</v>
      </c>
      <c r="C71" s="4">
        <f>IF(C50&gt;=75,ROUND((1150+1400)/C53,2),IF(C50&gt;=65,ROUND(1150/C53,2),0))</f>
        <v>0</v>
      </c>
      <c r="G71" s="4"/>
      <c r="H71" s="4"/>
      <c r="I71" s="4"/>
      <c r="J71" s="74" t="s">
        <v>223</v>
      </c>
      <c r="K71" s="77"/>
      <c r="L71" s="78"/>
    </row>
    <row r="72" spans="1:15" x14ac:dyDescent="0.45">
      <c r="A72" s="4"/>
      <c r="B72" s="4" t="s">
        <v>198</v>
      </c>
      <c r="C72" s="4">
        <f>IF(C55&gt;=75,ROUND((1150+1400)/C58,2),IF(C55&gt;=65,ROUND(1150/C58,2),0))</f>
        <v>0</v>
      </c>
      <c r="D72" s="4"/>
      <c r="E72" s="4"/>
      <c r="F72" s="4"/>
      <c r="G72" s="4"/>
      <c r="H72" s="4"/>
      <c r="I72" s="4"/>
      <c r="J72" s="7" t="s">
        <v>224</v>
      </c>
      <c r="L72" s="71">
        <v>4.7E-2</v>
      </c>
    </row>
    <row r="73" spans="1:15" x14ac:dyDescent="0.45">
      <c r="A73" s="4"/>
      <c r="B73" s="4" t="s">
        <v>199</v>
      </c>
      <c r="C73" s="4">
        <f>IF(C60&gt;=75,ROUND((1150+1400)/C63,2),IF(C60&gt;=65,ROUND(1150/C63,2),0))</f>
        <v>0</v>
      </c>
      <c r="D73" s="4"/>
      <c r="E73" s="4"/>
      <c r="F73" s="4"/>
      <c r="G73" s="4"/>
      <c r="H73" s="4"/>
      <c r="I73" s="4"/>
      <c r="J73" s="7" t="s">
        <v>225</v>
      </c>
      <c r="L73" s="71">
        <v>1.1999999999999999E-3</v>
      </c>
    </row>
    <row r="74" spans="1:15" x14ac:dyDescent="0.45">
      <c r="A74" s="4"/>
      <c r="B74" s="4" t="s">
        <v>200</v>
      </c>
      <c r="C74" s="4">
        <f>IF(C65&gt;=75,ROUND((1150+1400)/C68,2),IF(C65&gt;=65,ROUND(1150/C68,2),0))</f>
        <v>0</v>
      </c>
      <c r="D74" s="4"/>
      <c r="E74" s="4"/>
      <c r="F74" s="4"/>
      <c r="G74" s="4"/>
      <c r="H74" s="4"/>
      <c r="I74" s="4"/>
      <c r="J74" s="7" t="s">
        <v>226</v>
      </c>
      <c r="L74" s="71">
        <v>1.55E-2</v>
      </c>
    </row>
    <row r="75" spans="1:15" x14ac:dyDescent="0.45">
      <c r="B75" s="4" t="s">
        <v>202</v>
      </c>
      <c r="C75" s="4">
        <f>IF(C50&lt;65,0,IF(C51=A41,ROUND(12000/C53,2),IF(AND(C51=A42,C52="No"),ROUND(3000/C53,2),IF(AND(C51=A42,C52="Sí"),ROUND(6000/C53,2),""))))</f>
        <v>0</v>
      </c>
      <c r="D75" s="4"/>
      <c r="E75" s="4"/>
      <c r="F75" s="4"/>
      <c r="G75" s="4"/>
      <c r="H75" s="4"/>
      <c r="I75" s="4"/>
      <c r="J75" s="7" t="s">
        <v>227</v>
      </c>
      <c r="L75" s="71">
        <v>1E-3</v>
      </c>
    </row>
    <row r="76" spans="1:15" ht="14.65" thickBot="1" x14ac:dyDescent="0.5">
      <c r="B76" s="4" t="s">
        <v>203</v>
      </c>
      <c r="C76" s="4">
        <f>IF(C55&lt;65,0,IF(C56=A41,ROUND(12000/C58,2),IF(AND(C56=A42,C57="No"),ROUND(3000/C58,2),IF(AND(C56=A42,C57="Sí"),ROUND(6000/C58,2),""))))</f>
        <v>0</v>
      </c>
      <c r="D76" s="4"/>
      <c r="E76" s="4"/>
      <c r="F76" s="4"/>
      <c r="G76" s="4"/>
      <c r="H76" s="4"/>
      <c r="I76" s="4"/>
      <c r="J76" s="80" t="s">
        <v>228</v>
      </c>
      <c r="K76" s="81"/>
      <c r="L76" s="82">
        <f>SUM(L72:L75)</f>
        <v>6.4700000000000008E-2</v>
      </c>
    </row>
    <row r="77" spans="1:15" x14ac:dyDescent="0.45">
      <c r="B77" s="4" t="s">
        <v>204</v>
      </c>
      <c r="C77" s="4">
        <f>IF(C60&lt;65,0,IF(C61=A41,ROUND(12000/C63,2),IF(AND(C61=A42,C62="No"),ROUND(3000/C63,2),IF(AND(C61=A42,C62="Sí"),ROUND(6000/C63,2),""))))</f>
        <v>0</v>
      </c>
      <c r="D77" s="4"/>
      <c r="E77" s="4"/>
      <c r="F77" s="4"/>
      <c r="G77" s="4"/>
      <c r="H77" s="4"/>
      <c r="I77" s="4"/>
    </row>
    <row r="78" spans="1:15" x14ac:dyDescent="0.45">
      <c r="B78" s="4" t="s">
        <v>205</v>
      </c>
      <c r="C78" s="4">
        <f>IF(C65&lt;65,0,IF(C66=A41,ROUND(12000/C68,2),IF(AND(C66=A42,C67="No"),ROUND(3000/C68,2),IF(AND(C66=A42,C67="Sí"),ROUND(6000/C68,2),""))))</f>
        <v>0</v>
      </c>
      <c r="D78" s="4"/>
      <c r="E78" s="4"/>
      <c r="F78" s="4"/>
      <c r="G78" s="4"/>
      <c r="H78" s="4"/>
      <c r="I78" s="4"/>
    </row>
    <row r="79" spans="1:15" x14ac:dyDescent="0.45">
      <c r="B79" s="4"/>
      <c r="C79" s="4"/>
      <c r="I79" s="4"/>
    </row>
    <row r="80" spans="1:15" x14ac:dyDescent="0.45">
      <c r="B80" s="4" t="s">
        <v>242</v>
      </c>
      <c r="C80" s="4"/>
      <c r="I80" s="4"/>
    </row>
    <row r="81" spans="2:9" x14ac:dyDescent="0.45">
      <c r="B81" s="4" t="s">
        <v>243</v>
      </c>
      <c r="C81" s="33">
        <f>L49-C35</f>
        <v>38833.515913666655</v>
      </c>
      <c r="I81" s="4"/>
    </row>
    <row r="82" spans="2:9" x14ac:dyDescent="0.45">
      <c r="B82" s="4" t="s">
        <v>244</v>
      </c>
      <c r="C82" s="33">
        <f>C35</f>
        <v>0</v>
      </c>
      <c r="I82" s="4"/>
    </row>
    <row r="83" spans="2:9" x14ac:dyDescent="0.45">
      <c r="B83" s="4" t="s">
        <v>245</v>
      </c>
      <c r="C83" s="34">
        <f>MAX(B85:B90)</f>
        <v>10069.900888056662</v>
      </c>
      <c r="I83" s="4"/>
    </row>
    <row r="84" spans="2:9" x14ac:dyDescent="0.45">
      <c r="B84" s="4" t="s">
        <v>247</v>
      </c>
      <c r="C84" s="4"/>
      <c r="I84" s="4"/>
    </row>
    <row r="85" spans="2:9" x14ac:dyDescent="0.45">
      <c r="B85" s="4" t="str">
        <f>IF(C81&lt;12450,0+(C81)*0.19,"")</f>
        <v/>
      </c>
      <c r="C85" s="4"/>
      <c r="I85" s="4"/>
    </row>
    <row r="86" spans="2:9" x14ac:dyDescent="0.45">
      <c r="B86" s="4" t="str">
        <f>IF(AND(C81&gt;=12450,C81&lt;20200),2365.5+(C81-12450)*0.24,"")</f>
        <v/>
      </c>
      <c r="C86" s="4"/>
      <c r="I86" s="4"/>
    </row>
    <row r="87" spans="2:9" x14ac:dyDescent="0.45">
      <c r="B87" s="4" t="str">
        <f>IF(AND(C81&gt;=20200,C81&lt;35200),4225.5+(C81-20200)*0.3,"")</f>
        <v/>
      </c>
      <c r="C87" s="4"/>
      <c r="I87" s="4"/>
    </row>
    <row r="88" spans="2:9" x14ac:dyDescent="0.45">
      <c r="B88" s="4">
        <f>IF(AND(C81&gt;=35200,C81&lt;60000),8725.5+(C81-35200)*0.37,"")</f>
        <v>10069.900888056662</v>
      </c>
      <c r="C88" s="4"/>
      <c r="I88" s="4"/>
    </row>
    <row r="89" spans="2:9" x14ac:dyDescent="0.45">
      <c r="B89" s="4" t="str">
        <f>IF(AND(C81&gt;=60000,C81&lt;300000),17901.5+(C81-60000)*0.45,"")</f>
        <v/>
      </c>
      <c r="C89" s="4"/>
      <c r="I89" s="4"/>
    </row>
    <row r="90" spans="2:9" x14ac:dyDescent="0.45">
      <c r="B90" s="4" t="str">
        <f>IF(C81&gt;300000,125901.5+(C81-300000)*0.47,"")</f>
        <v/>
      </c>
      <c r="C90" s="4"/>
      <c r="I90" s="4"/>
    </row>
    <row r="91" spans="2:9" x14ac:dyDescent="0.45">
      <c r="B91" s="4" t="s">
        <v>246</v>
      </c>
      <c r="C91" s="34">
        <f>MAX(B92:B97)</f>
        <v>0</v>
      </c>
      <c r="I91" s="4"/>
    </row>
    <row r="92" spans="2:9" x14ac:dyDescent="0.45">
      <c r="B92" s="4">
        <f>IF(C82&lt;12450,0+(C82)*0.19,"")</f>
        <v>0</v>
      </c>
      <c r="C92" s="4"/>
      <c r="I92" s="4"/>
    </row>
    <row r="93" spans="2:9" x14ac:dyDescent="0.45">
      <c r="B93" s="4" t="str">
        <f>IF(AND(C82&gt;=12450,C82&lt;20200),2365.5+(C82-12450)*0.24,"")</f>
        <v/>
      </c>
      <c r="C93" s="4"/>
      <c r="I93" s="4"/>
    </row>
    <row r="94" spans="2:9" x14ac:dyDescent="0.45">
      <c r="B94" s="4" t="str">
        <f>IF(AND(C82&gt;=20200,C82&lt;35200),4225.5+(C82-20200)*0.3,"")</f>
        <v/>
      </c>
      <c r="C94" s="4"/>
      <c r="I94" s="4"/>
    </row>
    <row r="95" spans="2:9" x14ac:dyDescent="0.45">
      <c r="B95" s="4" t="str">
        <f>IF(AND(C82&gt;=35200,C82&lt;60000),8725.5+(C82-35200)*0.37,"")</f>
        <v/>
      </c>
      <c r="C95" s="4"/>
      <c r="I95" s="4"/>
    </row>
    <row r="96" spans="2:9" x14ac:dyDescent="0.45">
      <c r="B96" s="4" t="str">
        <f>IF(AND(C82&gt;=60000,C82&lt;300000),17901.5+(C82-60000)*0.45,"")</f>
        <v/>
      </c>
      <c r="C96" s="4"/>
    </row>
    <row r="97" spans="1:29" x14ac:dyDescent="0.45">
      <c r="B97" s="4" t="str">
        <f>IF(C82&gt;300000,125901.5+(C82-300000)*0.47,"")</f>
        <v/>
      </c>
      <c r="C97" s="4"/>
    </row>
    <row r="98" spans="1:29" s="22" customFormat="1" x14ac:dyDescent="0.45">
      <c r="A98" s="1"/>
      <c r="B98" s="4" t="s">
        <v>248</v>
      </c>
      <c r="C98" s="33">
        <f>IF(AND(C35&gt;0,L49-C35&gt;0),C91+C83,C108)</f>
        <v>10069.900888056662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s="22" customFormat="1" x14ac:dyDescent="0.45">
      <c r="A99" s="1"/>
      <c r="B99" s="4" t="s">
        <v>249</v>
      </c>
      <c r="C99" s="34">
        <f>IF(AND(C35&gt;0,L49-C35&gt;0),L48+1980,L48)</f>
        <v>5550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s="22" customFormat="1" x14ac:dyDescent="0.45">
      <c r="A100" s="1"/>
      <c r="B100" s="4" t="s">
        <v>250</v>
      </c>
      <c r="C100" s="34">
        <f>MAX(B101:B106)</f>
        <v>1054.5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s="22" customFormat="1" x14ac:dyDescent="0.45">
      <c r="A101" s="1"/>
      <c r="B101" s="4">
        <f>IF(C99&lt;12450,0+(C99)*0.19,"")</f>
        <v>1054.5</v>
      </c>
      <c r="C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s="22" customFormat="1" x14ac:dyDescent="0.45">
      <c r="A102" s="1"/>
      <c r="B102" s="4" t="str">
        <f>IF(AND(C99&gt;=12450,C99&lt;20200),2365.5+(C99-12450)*0.24,"")</f>
        <v/>
      </c>
      <c r="C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22" customFormat="1" x14ac:dyDescent="0.45">
      <c r="A103" s="1"/>
      <c r="B103" s="4" t="str">
        <f>IF(AND(C99&gt;=20200,C99&lt;35200),4225.5+(C99-20200)*0.3,"")</f>
        <v/>
      </c>
      <c r="C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22" customFormat="1" x14ac:dyDescent="0.45">
      <c r="A104" s="1"/>
      <c r="B104" s="4" t="str">
        <f>IF(AND(C99&gt;=35200,C99&lt;60000),8725.5+(C99-35200)*0.37,"")</f>
        <v/>
      </c>
      <c r="C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s="22" customFormat="1" x14ac:dyDescent="0.45">
      <c r="A105" s="1"/>
      <c r="B105" s="4" t="str">
        <f>IF(AND(C99&gt;=60000,C99&lt;300000),17901.5+(C99-60000)*0.45,"")</f>
        <v/>
      </c>
      <c r="C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s="22" customFormat="1" x14ac:dyDescent="0.45">
      <c r="A106" s="1"/>
      <c r="B106" s="4" t="str">
        <f>IF(C99&gt;300000,125901.5+(C99-300000)*0.47,"")</f>
        <v/>
      </c>
      <c r="C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s="22" customFormat="1" x14ac:dyDescent="0.45">
      <c r="A107" s="1"/>
      <c r="B107" s="4" t="s">
        <v>251</v>
      </c>
      <c r="C107" s="35">
        <f>IF(C98&gt;C100,C98-C100,L60)</f>
        <v>9015.4008880566616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s="22" customFormat="1" x14ac:dyDescent="0.45">
      <c r="A108" s="1"/>
      <c r="B108" s="4" t="s">
        <v>252</v>
      </c>
      <c r="C108" s="34">
        <f>MAX(B109:B115)</f>
        <v>10069.900888056662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s="22" customFormat="1" x14ac:dyDescent="0.45">
      <c r="A109" s="1"/>
      <c r="B109" s="4" t="str">
        <f>IF(L49&lt;12450,0+(L49)*0.19,"")</f>
        <v/>
      </c>
      <c r="C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s="22" customFormat="1" x14ac:dyDescent="0.45">
      <c r="A110" s="1"/>
      <c r="B110" s="4" t="str">
        <f>IF(AND(L49&gt;=12450,L49&lt;20200),2365.5+(L49-12450)*0.24,"")</f>
        <v/>
      </c>
      <c r="C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s="22" customFormat="1" x14ac:dyDescent="0.45">
      <c r="A111" s="1"/>
      <c r="B111" s="4" t="str">
        <f>IF(AND(L49&gt;=20200,L49&lt;35200),4225.5+(L49-20200)*0.3,"")</f>
        <v/>
      </c>
      <c r="C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s="22" customFormat="1" x14ac:dyDescent="0.45">
      <c r="A112" s="1"/>
      <c r="B112" s="4">
        <f>IF(AND(L49&gt;=35200,L49&lt;60000),8725.5+(L49-35200)*0.37,"")</f>
        <v>10069.900888056662</v>
      </c>
      <c r="C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s="22" customFormat="1" x14ac:dyDescent="0.45">
      <c r="A113" s="1"/>
      <c r="B113" s="4" t="str">
        <f>IF(AND(L49&gt;=60000,L49&lt;300000),17901.5+(L49-60000)*0.45,"")</f>
        <v/>
      </c>
      <c r="C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s="22" customFormat="1" x14ac:dyDescent="0.45">
      <c r="A114" s="1"/>
      <c r="B114" s="4" t="str">
        <f>IF(L49&gt;300000,125901.5+(L49-300000)*0.47,"")</f>
        <v/>
      </c>
      <c r="C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s="22" customFormat="1" x14ac:dyDescent="0.45">
      <c r="A115" s="1"/>
      <c r="B115" s="4"/>
      <c r="C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s="22" customFormat="1" x14ac:dyDescent="0.45">
      <c r="A116" s="1"/>
      <c r="B116" s="4"/>
      <c r="C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s="22" customFormat="1" x14ac:dyDescent="0.45">
      <c r="A117" s="1"/>
      <c r="B117" s="4" t="s">
        <v>253</v>
      </c>
      <c r="C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s="22" customFormat="1" x14ac:dyDescent="0.45">
      <c r="A118" s="1"/>
      <c r="B118" s="4" t="s">
        <v>255</v>
      </c>
      <c r="C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s="22" customFormat="1" x14ac:dyDescent="0.45">
      <c r="A119" s="1"/>
      <c r="B119" s="4" t="s">
        <v>254</v>
      </c>
      <c r="C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s="22" customFormat="1" x14ac:dyDescent="0.45">
      <c r="A120" s="1"/>
      <c r="B120" s="4">
        <f>IF(AND(L36&lt;=35200,C69=1,C36=1),(L36-(17270+C119+C120))*0.43,0)</f>
        <v>0</v>
      </c>
      <c r="C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s="22" customFormat="1" x14ac:dyDescent="0.45">
      <c r="A121" s="1"/>
      <c r="B121" s="4">
        <f>IF(AND(L36&lt;=35200,C69=1,C36&gt;1),(L36-(18617+C119+C120))*0.43,0)</f>
        <v>0</v>
      </c>
      <c r="C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s="22" customFormat="1" x14ac:dyDescent="0.45">
      <c r="A122" s="1"/>
      <c r="B122" s="4">
        <f>IF(AND(L36&lt;=35200,C69=2,C36=0),(L36-(16696+C119+C120))*0.43,0)</f>
        <v>0</v>
      </c>
      <c r="C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s="22" customFormat="1" x14ac:dyDescent="0.45">
      <c r="A123" s="1"/>
      <c r="B123" s="4">
        <f>IF(AND(L36&lt;=35200,C69=2,C36=1),(L36-(17894+C119+C120))*0.43,0)</f>
        <v>0</v>
      </c>
      <c r="C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s="22" customFormat="1" x14ac:dyDescent="0.45">
      <c r="A124" s="1"/>
      <c r="B124" s="4">
        <f>IF(AND(L36&lt;=35200,C69=2,C36&gt;1),(L36-(19241+C119+C120))*0.43,0)</f>
        <v>0</v>
      </c>
      <c r="C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s="22" customFormat="1" x14ac:dyDescent="0.45">
      <c r="A125" s="1"/>
      <c r="B125" s="4">
        <f>IF(AND(L36&lt;=35200,C69=3,C36=0),(L36-(15000+C119+C120))*0.43,0)</f>
        <v>0</v>
      </c>
      <c r="C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s="22" customFormat="1" x14ac:dyDescent="0.45">
      <c r="A126" s="1"/>
      <c r="B126" s="4">
        <f>IF(AND(L36&lt;=35200,C69=3,C36=1),(L36-(15599+C119+C120))*0.43,0)</f>
        <v>0</v>
      </c>
      <c r="C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s="22" customFormat="1" x14ac:dyDescent="0.45">
      <c r="A127" s="1"/>
      <c r="B127" s="4">
        <f>IF(AND(L36&lt;=35200,C69=3,C36&gt;1),(L36-(16272+C119+C120))*0.43,0)</f>
        <v>0</v>
      </c>
      <c r="C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s="22" customFormat="1" x14ac:dyDescent="0.45">
      <c r="A128" s="1"/>
      <c r="B128" s="4" t="s">
        <v>257</v>
      </c>
      <c r="C128" s="4" t="str">
        <f>IF(MAX(B120:B127)&gt;0,"Sí","No")</f>
        <v>No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s="22" customFormat="1" x14ac:dyDescent="0.45">
      <c r="A129" s="1"/>
      <c r="B129" s="4" t="s">
        <v>258</v>
      </c>
      <c r="C129" s="4">
        <f>MAX(B120:B127)</f>
        <v>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s="22" customFormat="1" x14ac:dyDescent="0.45">
      <c r="A130" s="1"/>
      <c r="B130" s="4" t="s">
        <v>256</v>
      </c>
      <c r="C130" s="35">
        <f>IF(C128="No",C107,IF(C107&gt;C129,C129,C107))</f>
        <v>9015.4008880566616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s="22" customFormat="1" x14ac:dyDescent="0.45">
      <c r="A131" s="1"/>
      <c r="B131" s="4"/>
      <c r="C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s="22" customFormat="1" x14ac:dyDescent="0.45">
      <c r="A132" s="1"/>
      <c r="B132" s="4"/>
      <c r="C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s="22" customFormat="1" x14ac:dyDescent="0.45">
      <c r="A133" s="1"/>
      <c r="B133" s="4"/>
      <c r="C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s="22" customFormat="1" x14ac:dyDescent="0.45">
      <c r="A134" s="1"/>
      <c r="B134" s="4"/>
      <c r="C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s="22" customFormat="1" x14ac:dyDescent="0.45">
      <c r="A135" s="1"/>
      <c r="B135" s="4"/>
      <c r="C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s="22" customFormat="1" x14ac:dyDescent="0.45">
      <c r="A136" s="1"/>
      <c r="B136" s="4"/>
      <c r="C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s="22" customFormat="1" x14ac:dyDescent="0.45">
      <c r="A137" s="1"/>
      <c r="B137" s="4"/>
      <c r="C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s="22" customFormat="1" x14ac:dyDescent="0.45">
      <c r="A138" s="1"/>
      <c r="B138" s="4"/>
      <c r="C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</sheetData>
  <sheetProtection algorithmName="SHA-512" hashValue="2e6/ljsPsH3EE22TxexJDOruHuplwGs0S8ROop97wtRavjl5MusTXnGMYq7C3WIPCNmggaofd5Qd0L8LD0y3wg==" saltValue="uMR8T3TFAuADwLSYfruWjQ==" spinCount="100000" sheet="1" objects="1" scenarios="1"/>
  <mergeCells count="13">
    <mergeCell ref="J2:K2"/>
    <mergeCell ref="M4:M5"/>
    <mergeCell ref="B29:C29"/>
    <mergeCell ref="B70:C70"/>
    <mergeCell ref="B3:C3"/>
    <mergeCell ref="J3:K3"/>
    <mergeCell ref="J4:K5"/>
    <mergeCell ref="L4:L5"/>
    <mergeCell ref="B32:C32"/>
    <mergeCell ref="B42:B44"/>
    <mergeCell ref="C42:C44"/>
    <mergeCell ref="B45:B47"/>
    <mergeCell ref="C45:C47"/>
  </mergeCells>
  <dataValidations count="18">
    <dataValidation type="list" allowBlank="1" showInputMessage="1" showErrorMessage="1" sqref="B70" xr:uid="{00000000-0002-0000-0900-000000000000}">
      <formula1>$A$69:$A$71</formula1>
    </dataValidation>
    <dataValidation type="list" allowBlank="1" showInputMessage="1" showErrorMessage="1" sqref="C39 C66 C56 C51 C61" xr:uid="{00000000-0002-0000-0900-000001000000}">
      <formula1>$A$39:$A$43</formula1>
    </dataValidation>
    <dataValidation type="whole" allowBlank="1" showInputMessage="1" showErrorMessage="1" sqref="C45" xr:uid="{00000000-0002-0000-0900-000002000000}">
      <formula1>0</formula1>
      <formula2>C41</formula2>
    </dataValidation>
    <dataValidation type="whole" allowBlank="1" showInputMessage="1" showErrorMessage="1" sqref="C53 C58 C63 C68" xr:uid="{00000000-0002-0000-0900-000003000000}">
      <formula1>0</formula1>
      <formula2>20</formula2>
    </dataValidation>
    <dataValidation type="whole" allowBlank="1" showInputMessage="1" showErrorMessage="1" sqref="C50 C55 C60 C65" xr:uid="{00000000-0002-0000-0900-000004000000}">
      <formula1>18</formula1>
      <formula2>130</formula2>
    </dataValidation>
    <dataValidation type="whole" allowBlank="1" showInputMessage="1" showErrorMessage="1" sqref="C37 C41:C42" xr:uid="{00000000-0002-0000-0900-000005000000}">
      <formula1>0</formula1>
      <formula2>C36</formula2>
    </dataValidation>
    <dataValidation type="whole" allowBlank="1" showInputMessage="1" showErrorMessage="1" sqref="C36" xr:uid="{00000000-0002-0000-0900-000006000000}">
      <formula1>0</formula1>
      <formula2>100</formula2>
    </dataValidation>
    <dataValidation type="list" allowBlank="1" showInputMessage="1" showErrorMessage="1" sqref="C30" xr:uid="{00000000-0002-0000-0900-000007000000}">
      <formula1>$A$36:$A$38</formula1>
    </dataValidation>
    <dataValidation type="whole" allowBlank="1" showInputMessage="1" showErrorMessage="1" sqref="C28" xr:uid="{00000000-0002-0000-0900-000009000000}">
      <formula1>0</formula1>
      <formula2>10000</formula2>
    </dataValidation>
    <dataValidation type="whole" allowBlank="1" showInputMessage="1" showErrorMessage="1" sqref="C26" xr:uid="{00000000-0002-0000-0900-00000A000000}">
      <formula1>0</formula1>
      <formula2>30</formula2>
    </dataValidation>
    <dataValidation type="list" allowBlank="1" showInputMessage="1" showErrorMessage="1" sqref="C27 C48 C67 C62 C57 C52 C40 C38 C33 C15:C25" xr:uid="{00000000-0002-0000-0900-00000B000000}">
      <formula1>$H$13:$H$14</formula1>
    </dataValidation>
    <dataValidation type="list" allowBlank="1" showInputMessage="1" showErrorMessage="1" sqref="C14" xr:uid="{00000000-0002-0000-0900-00000C000000}">
      <formula1>$F$13:$F$18</formula1>
    </dataValidation>
    <dataValidation type="list" allowBlank="1" showInputMessage="1" showErrorMessage="1" sqref="C13" xr:uid="{00000000-0002-0000-0900-00000D000000}">
      <formula1>$D$13:$D$20</formula1>
    </dataValidation>
    <dataValidation type="decimal" allowBlank="1" showInputMessage="1" showErrorMessage="1" sqref="C4:C5" xr:uid="{00000000-0002-0000-0900-00000E000000}">
      <formula1>0</formula1>
      <formula2>100</formula2>
    </dataValidation>
    <dataValidation type="whole" allowBlank="1" showInputMessage="1" showErrorMessage="1" sqref="C12" xr:uid="{00000000-0002-0000-0900-00000F000000}">
      <formula1>0</formula1>
      <formula2>5</formula2>
    </dataValidation>
    <dataValidation type="whole" allowBlank="1" showInputMessage="1" showErrorMessage="1" sqref="C6:C10" xr:uid="{00000000-0002-0000-0900-000010000000}">
      <formula1>0</formula1>
      <formula2>14</formula2>
    </dataValidation>
    <dataValidation type="list" allowBlank="1" showInputMessage="1" showErrorMessage="1" sqref="C11" xr:uid="{00000000-0002-0000-0900-000011000000}">
      <formula1>$D$5:$D$6</formula1>
    </dataValidation>
    <dataValidation type="whole" allowBlank="1" showInputMessage="1" showErrorMessage="1" sqref="C31" xr:uid="{277D32A5-68C3-4C0E-B3A0-78CD2F5D3678}">
      <formula1>1980</formula1>
      <formula2>2024</formula2>
    </dataValidation>
  </dataValidations>
  <hyperlinks>
    <hyperlink ref="B2" location="Inicio!A1" display="Ir a inicio" xr:uid="{00000000-0004-0000-09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38"/>
  <sheetViews>
    <sheetView showRowColHeaders="0" topLeftCell="B1" zoomScaleNormal="100" workbookViewId="0">
      <selection activeCell="C4" sqref="C4"/>
    </sheetView>
  </sheetViews>
  <sheetFormatPr baseColWidth="10" defaultRowHeight="14.25" x14ac:dyDescent="0.45"/>
  <cols>
    <col min="1" max="1" width="1.3320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8.59765625" style="1" customWidth="1"/>
    <col min="15" max="15" width="10.19921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L4-SUM(L28:L32)</f>
        <v>2213.3499182237983</v>
      </c>
      <c r="M3" s="73">
        <f>M4-SUM(M28:M32)</f>
        <v>2007.9622163305426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SUM(L6:L26)</f>
        <v>3023.81</v>
      </c>
      <c r="M4" s="157">
        <f>SUM(M6:M26)</f>
        <v>2492.62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ROUND((C4/100)*Datos!E4,2)</f>
        <v>1387.24</v>
      </c>
      <c r="M6" s="52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ROUND(($C$4/100)*Datos!E9,2)</f>
        <v>729.14</v>
      </c>
      <c r="M7" s="53">
        <f>L7</f>
        <v>729.14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ROUND(($C$4/100)*Datos!E13,2)</f>
        <v>907.43</v>
      </c>
      <c r="M8" s="53">
        <f>L8</f>
        <v>907.43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29" t="s">
        <v>278</v>
      </c>
      <c r="C11" s="18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IF(C13=D14,ROUND(C4*MAX(E28:E33,G28:G33)/100,2),0)</f>
        <v>0</v>
      </c>
      <c r="M11" s="53">
        <f t="shared" ref="M11:M26" si="1">L11</f>
        <v>0</v>
      </c>
      <c r="N11" s="132"/>
      <c r="O11" s="132"/>
      <c r="P11" s="132"/>
      <c r="Q11" s="132"/>
      <c r="R11" s="132"/>
      <c r="S11" s="132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IF(C13=D16,ROUND(C4*MAX(F28:F32,H28:H32)/100,2),0)</f>
        <v>0</v>
      </c>
      <c r="M12" s="53">
        <f t="shared" si="1"/>
        <v>0</v>
      </c>
      <c r="N12" s="132"/>
      <c r="O12" s="132"/>
      <c r="P12" s="132"/>
      <c r="Q12" s="132"/>
      <c r="R12" s="132"/>
      <c r="S12" s="132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65" thickBot="1" x14ac:dyDescent="0.5">
      <c r="A13" s="4"/>
      <c r="B13" s="129" t="s">
        <v>274</v>
      </c>
      <c r="C13" s="18" t="s">
        <v>135</v>
      </c>
      <c r="D13" s="4" t="s">
        <v>135</v>
      </c>
      <c r="E13" s="132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IF(C13=D15,ROUND(C4*MAX(F28:F32,H28:H32)/100,2),0)</f>
        <v>0</v>
      </c>
      <c r="M13" s="53">
        <f t="shared" si="1"/>
        <v>0</v>
      </c>
      <c r="N13" s="132"/>
      <c r="O13" s="132"/>
      <c r="P13" s="132"/>
      <c r="Q13" s="132"/>
      <c r="R13" s="132"/>
      <c r="S13" s="132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65" thickBot="1" x14ac:dyDescent="0.5">
      <c r="A14" s="4"/>
      <c r="B14" s="129" t="s">
        <v>124</v>
      </c>
      <c r="C14" s="18"/>
      <c r="D14" s="4" t="s">
        <v>126</v>
      </c>
      <c r="E14" s="132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IF(C13=D17,ROUND(Datos!E77*'Profesores Secundaria'!C4/100,2),0)</f>
        <v>0</v>
      </c>
      <c r="M14" s="53">
        <f t="shared" si="1"/>
        <v>0</v>
      </c>
      <c r="N14" s="132"/>
      <c r="O14" s="132"/>
      <c r="P14" s="132"/>
      <c r="Q14" s="132"/>
      <c r="R14" s="132"/>
      <c r="S14" s="132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65" thickBot="1" x14ac:dyDescent="0.5">
      <c r="A15" s="4"/>
      <c r="B15" s="129" t="s">
        <v>48</v>
      </c>
      <c r="C15" s="18" t="s">
        <v>138</v>
      </c>
      <c r="D15" s="4" t="s">
        <v>127</v>
      </c>
      <c r="E15" s="132"/>
      <c r="F15" s="4" t="s">
        <v>24</v>
      </c>
      <c r="G15" s="4" t="s">
        <v>132</v>
      </c>
      <c r="H15" s="4"/>
      <c r="I15" s="4"/>
      <c r="J15" s="36" t="str">
        <f>B16</f>
        <v>Jefatura de Residencia Tipo A</v>
      </c>
      <c r="K15" s="61"/>
      <c r="L15" s="53">
        <f>IF(C16="Sí",ROUND(Datos!E85*'Profesores Secundaria'!C4/100,2),0)</f>
        <v>0</v>
      </c>
      <c r="M15" s="53">
        <f t="shared" si="1"/>
        <v>0</v>
      </c>
      <c r="N15" s="132"/>
      <c r="O15" s="132"/>
      <c r="P15" s="132"/>
      <c r="Q15" s="132"/>
      <c r="R15" s="132"/>
      <c r="S15" s="132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65" thickBot="1" x14ac:dyDescent="0.5">
      <c r="A16" s="4"/>
      <c r="B16" s="129" t="s">
        <v>45</v>
      </c>
      <c r="C16" s="18" t="s">
        <v>138</v>
      </c>
      <c r="D16" s="4" t="s">
        <v>128</v>
      </c>
      <c r="E16" s="132"/>
      <c r="F16" s="4" t="s">
        <v>25</v>
      </c>
      <c r="G16" s="4" t="s">
        <v>133</v>
      </c>
      <c r="H16" s="4" t="s">
        <v>138</v>
      </c>
      <c r="I16" s="4"/>
      <c r="J16" s="36" t="str">
        <f>B17</f>
        <v>Jefatura de Residencia Tipo B</v>
      </c>
      <c r="K16" s="61"/>
      <c r="L16" s="53">
        <f>IF(C17="Sí",ROUND(Datos!E86*'Profesores Secundaria'!C4/100,2),0)</f>
        <v>0</v>
      </c>
      <c r="M16" s="53">
        <f t="shared" si="1"/>
        <v>0</v>
      </c>
      <c r="N16" s="132"/>
      <c r="O16" s="132"/>
      <c r="P16" s="132"/>
      <c r="Q16" s="132"/>
      <c r="R16" s="132"/>
      <c r="S16" s="132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65" thickBot="1" x14ac:dyDescent="0.5">
      <c r="A17" s="4"/>
      <c r="B17" s="129" t="s">
        <v>46</v>
      </c>
      <c r="C17" s="18" t="s">
        <v>138</v>
      </c>
      <c r="D17" s="4" t="s">
        <v>136</v>
      </c>
      <c r="E17" s="132"/>
      <c r="F17" s="4" t="s">
        <v>26</v>
      </c>
      <c r="G17" s="4"/>
      <c r="H17" s="4" t="s">
        <v>139</v>
      </c>
      <c r="I17" s="4"/>
      <c r="J17" s="36" t="str">
        <f>B18</f>
        <v>Jefatura de Residencia de CEE</v>
      </c>
      <c r="K17" s="61"/>
      <c r="L17" s="53">
        <f>IF(C18="Sí",ROUND(Datos!E87*'Profesores Secundaria'!C4/100,2),0)</f>
        <v>0</v>
      </c>
      <c r="M17" s="53">
        <f t="shared" si="1"/>
        <v>0</v>
      </c>
      <c r="N17" s="132"/>
      <c r="O17" s="132"/>
      <c r="P17" s="132"/>
      <c r="Q17" s="132"/>
      <c r="R17" s="132"/>
      <c r="S17" s="132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65" thickBot="1" x14ac:dyDescent="0.5">
      <c r="A18" s="4"/>
      <c r="B18" s="129" t="s">
        <v>99</v>
      </c>
      <c r="C18" s="18" t="s">
        <v>138</v>
      </c>
      <c r="D18" s="4" t="s">
        <v>275</v>
      </c>
      <c r="E18" s="132"/>
      <c r="F18" s="4" t="s">
        <v>27</v>
      </c>
      <c r="G18" s="4"/>
      <c r="H18" s="4" t="s">
        <v>140</v>
      </c>
      <c r="I18" s="4"/>
      <c r="J18" s="36" t="str">
        <f>B19</f>
        <v>Coordinación Equipos de Atención Hospitalaria y Domiciliaria</v>
      </c>
      <c r="K18" s="61"/>
      <c r="L18" s="53">
        <f>IF(C19="Sí",ROUND(Datos!E89*'Profesores Secundaria'!C4/100,2),0)</f>
        <v>0</v>
      </c>
      <c r="M18" s="53">
        <f t="shared" si="1"/>
        <v>0</v>
      </c>
      <c r="N18" s="132"/>
      <c r="O18" s="132"/>
      <c r="P18" s="132"/>
      <c r="Q18" s="132"/>
      <c r="R18" s="132"/>
      <c r="S18" s="132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65" thickBot="1" x14ac:dyDescent="0.5">
      <c r="A19" s="4"/>
      <c r="B19" s="129" t="s">
        <v>97</v>
      </c>
      <c r="C19" s="18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 t="str">
        <f>B20</f>
        <v>Coordinación Programa Recuperación Pueblos Abandonados</v>
      </c>
      <c r="K19" s="61"/>
      <c r="L19" s="53">
        <f>IF(C20="Sí",ROUND(Datos!E90*'Profesores Secundaria'!C4/100,2),0)</f>
        <v>0</v>
      </c>
      <c r="M19" s="53">
        <f t="shared" si="1"/>
        <v>0</v>
      </c>
      <c r="N19" s="132"/>
      <c r="O19" s="132"/>
      <c r="P19" s="132"/>
      <c r="Q19" s="132"/>
      <c r="R19" s="132"/>
      <c r="S19" s="132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65" thickBot="1" x14ac:dyDescent="0.5">
      <c r="A20" s="4"/>
      <c r="B20" s="129" t="s">
        <v>98</v>
      </c>
      <c r="C20" s="18" t="s">
        <v>138</v>
      </c>
      <c r="D20" s="4" t="s">
        <v>277</v>
      </c>
      <c r="E20" s="4"/>
      <c r="F20" s="4"/>
      <c r="G20" s="4"/>
      <c r="H20" s="4"/>
      <c r="I20" s="4"/>
      <c r="J20" s="36" t="s">
        <v>48</v>
      </c>
      <c r="K20" s="61"/>
      <c r="L20" s="53">
        <f>IF(C15="Sí",ROUND(Datos!E91*'Profesores Secundaria'!C4/100,2),0)</f>
        <v>0</v>
      </c>
      <c r="M20" s="53">
        <f t="shared" si="1"/>
        <v>0</v>
      </c>
      <c r="N20" s="132"/>
      <c r="O20" s="132"/>
      <c r="P20" s="132"/>
      <c r="Q20" s="132"/>
      <c r="R20" s="132"/>
      <c r="S20" s="132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65" thickBot="1" x14ac:dyDescent="0.5">
      <c r="A21" s="4"/>
      <c r="B21" s="129" t="s">
        <v>49</v>
      </c>
      <c r="C21" s="18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IF(C22="Sí",ROUND(Datos!E97*'Profesores Secundaria'!C4/100,2),0)</f>
        <v>0</v>
      </c>
      <c r="M21" s="53">
        <f t="shared" si="1"/>
        <v>0</v>
      </c>
      <c r="N21" s="132"/>
      <c r="O21" s="132"/>
      <c r="P21" s="132"/>
      <c r="Q21" s="132"/>
      <c r="R21" s="132"/>
      <c r="S21" s="132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65" thickBot="1" x14ac:dyDescent="0.5">
      <c r="A22" s="4"/>
      <c r="B22" s="129" t="s">
        <v>269</v>
      </c>
      <c r="C22" s="18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IF(C24="Sí",ROUND(C4*SUM(D24:D26)/100,2),0)</f>
        <v>0</v>
      </c>
      <c r="M22" s="53">
        <f>L22</f>
        <v>0</v>
      </c>
      <c r="N22" s="132"/>
      <c r="O22" s="132"/>
      <c r="P22" s="132"/>
      <c r="Q22" s="132"/>
      <c r="R22" s="132"/>
      <c r="S22" s="132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65" thickBot="1" x14ac:dyDescent="0.5">
      <c r="A23" s="4"/>
      <c r="B23" s="129" t="s">
        <v>334</v>
      </c>
      <c r="C23" s="18" t="s">
        <v>138</v>
      </c>
      <c r="D23" s="4"/>
      <c r="E23" s="4"/>
      <c r="F23" s="4"/>
      <c r="G23" s="4"/>
      <c r="H23" s="4"/>
      <c r="I23" s="4"/>
      <c r="J23" s="36" t="s">
        <v>335</v>
      </c>
      <c r="K23" s="61"/>
      <c r="L23" s="53">
        <f>IF(C23="Sí",ROUND(Datos!E96*C4/100,2),0)</f>
        <v>0</v>
      </c>
      <c r="M23" s="53">
        <f>L23</f>
        <v>0</v>
      </c>
      <c r="N23" s="132"/>
      <c r="O23" s="132"/>
      <c r="P23" s="132"/>
      <c r="Q23" s="132"/>
      <c r="R23" s="132"/>
      <c r="S23" s="132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65" thickBot="1" x14ac:dyDescent="0.5">
      <c r="A24" s="4"/>
      <c r="B24" s="129" t="s">
        <v>144</v>
      </c>
      <c r="C24" s="18" t="s">
        <v>138</v>
      </c>
      <c r="D24" s="4">
        <f>IF(C24="No",0,Datos!E102)</f>
        <v>0</v>
      </c>
      <c r="E24" s="4"/>
      <c r="F24" s="4"/>
      <c r="G24" s="4"/>
      <c r="H24" s="4"/>
      <c r="I24" s="4"/>
      <c r="J24" s="36" t="s">
        <v>153</v>
      </c>
      <c r="K24" s="61"/>
      <c r="L24" s="53">
        <f>IF(C27="Sí",ROUND(C4*MIN(D28:D37)/100,2),0)</f>
        <v>0</v>
      </c>
      <c r="M24" s="53">
        <f>L24</f>
        <v>0</v>
      </c>
      <c r="N24" s="132"/>
      <c r="O24" s="132"/>
      <c r="P24" s="132"/>
      <c r="Q24" s="132"/>
      <c r="R24" s="132"/>
      <c r="S24" s="132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65" thickBot="1" x14ac:dyDescent="0.5">
      <c r="A25" s="4"/>
      <c r="B25" s="13" t="s">
        <v>142</v>
      </c>
      <c r="C25" s="18" t="s">
        <v>138</v>
      </c>
      <c r="D25" s="4">
        <f>IF(AND(C24="Sí",C25="Sí"),Datos!E103,0)</f>
        <v>0</v>
      </c>
      <c r="E25" s="4"/>
      <c r="F25" s="4"/>
      <c r="G25" s="4"/>
      <c r="H25" s="4"/>
      <c r="I25" s="4"/>
      <c r="J25" s="36" t="s">
        <v>273</v>
      </c>
      <c r="K25" s="62"/>
      <c r="L25" s="53">
        <f>IF(D21&gt;0,ROUND(C4*MAX(E28:E34,G28:G34)*D21/100,2),0)</f>
        <v>0</v>
      </c>
      <c r="M25" s="53">
        <f>L25</f>
        <v>0</v>
      </c>
      <c r="N25" s="132"/>
      <c r="O25" s="132"/>
      <c r="P25" s="132"/>
      <c r="Q25" s="132"/>
      <c r="R25" s="132"/>
      <c r="S25" s="132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65" thickBot="1" x14ac:dyDescent="0.5">
      <c r="A26" s="4"/>
      <c r="B26" s="12" t="s">
        <v>143</v>
      </c>
      <c r="C26" s="19">
        <v>0</v>
      </c>
      <c r="D26" s="4">
        <f>IF(C24="Sí",C26*Datos!E104,0)</f>
        <v>0</v>
      </c>
      <c r="E26" s="4"/>
      <c r="F26" s="4"/>
      <c r="G26" s="4"/>
      <c r="H26" s="4"/>
      <c r="I26" s="4"/>
      <c r="J26" s="54" t="s">
        <v>283</v>
      </c>
      <c r="K26" s="63"/>
      <c r="L26" s="55">
        <f>IF(C21="Sí",ROUND(Datos!E92*C4/100,2),0)</f>
        <v>0</v>
      </c>
      <c r="M26" s="55">
        <f t="shared" si="1"/>
        <v>0</v>
      </c>
      <c r="N26" s="132"/>
      <c r="O26" s="132"/>
      <c r="P26" s="132"/>
      <c r="Q26" s="132"/>
      <c r="R26" s="132"/>
      <c r="S26" s="132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4.65" thickBot="1" x14ac:dyDescent="0.5">
      <c r="A27" s="4"/>
      <c r="B27" s="129" t="s">
        <v>145</v>
      </c>
      <c r="C27" s="18" t="s">
        <v>138</v>
      </c>
      <c r="D27" s="4"/>
      <c r="E27" s="4" t="s">
        <v>125</v>
      </c>
      <c r="F27" s="4" t="s">
        <v>154</v>
      </c>
      <c r="G27" s="4" t="s">
        <v>280</v>
      </c>
      <c r="H27" s="4" t="s">
        <v>281</v>
      </c>
      <c r="I27" s="4"/>
      <c r="J27" s="57" t="s">
        <v>162</v>
      </c>
      <c r="K27" s="58"/>
      <c r="L27" s="59"/>
      <c r="M27" s="58"/>
      <c r="N27" s="132"/>
      <c r="O27" s="132"/>
      <c r="P27" s="132"/>
      <c r="Q27" s="132"/>
      <c r="R27" s="132"/>
      <c r="S27" s="132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3" t="s">
        <v>146</v>
      </c>
      <c r="C28" s="18">
        <v>0</v>
      </c>
      <c r="D28" s="4">
        <f>IF($C$28&lt;=50,Datos!E107,"")</f>
        <v>17.649999999999999</v>
      </c>
      <c r="E28" s="4" t="str">
        <f>IF(AND(C11=D5,$D12=$D$14,$C$14=F13),Datos!E64,"")</f>
        <v/>
      </c>
      <c r="F28" s="4" t="str">
        <f>IF(AND(OR($C$13=$D$15,$C$13=$D$16),$C$14=F13,C11=D5),Datos!E68,"")</f>
        <v/>
      </c>
      <c r="G28" s="4" t="str">
        <f>IF(AND(C11=D6,$D12=$D$14,$C$14=F13),Datos!E32,"")</f>
        <v/>
      </c>
      <c r="H28" s="4" t="str">
        <f>IF(AND(OR($C$13=$D$15,$C$13=$D$16),$C$14=F13,C11=D6),Datos!E38,"")</f>
        <v/>
      </c>
      <c r="I28" s="4"/>
      <c r="J28" s="7" t="s">
        <v>231</v>
      </c>
      <c r="K28" s="40"/>
      <c r="L28" s="20">
        <f>IF(OR(C30="Funcionario/a de carrera",C30="Funcionario/a en prácticas"),51.68*(C4/100),0)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71" t="s">
        <v>233</v>
      </c>
      <c r="C29" s="172"/>
      <c r="D29" s="4">
        <f>IF($C$28&lt;=100,Datos!E108,"")</f>
        <v>35.32</v>
      </c>
      <c r="E29" s="4" t="str">
        <f>IF(AND(C11=D5,$D$12=$D$14,$C$14=F14),Datos!E65,"")</f>
        <v/>
      </c>
      <c r="F29" s="4" t="str">
        <f>IF(AND(OR($C$13=$D$15,$C$13=$D$16),$C$14=F14,C11=D5),Datos!E69,"")</f>
        <v/>
      </c>
      <c r="G29" s="4" t="str">
        <f>IF(AND(C11=D6,$D12=$D$14,$C$14=F14),Datos!E33,"")</f>
        <v/>
      </c>
      <c r="H29" s="4" t="str">
        <f>IF(AND(OR($C$13=$D$15,$C$13=$D$16),$C$14=F14,C11=D6),Datos!E39,"")</f>
        <v/>
      </c>
      <c r="I29" s="4"/>
      <c r="J29" s="7" t="s">
        <v>232</v>
      </c>
      <c r="K29" s="40"/>
      <c r="L29" s="20">
        <f>IF(AND(OR(C30="Funcionario/a de carrera",C30="Funcionario/a en prácticas"),C31&lt;2011),(C4/100)*118.04,0)</f>
        <v>0</v>
      </c>
      <c r="M29" s="49">
        <f>L29</f>
        <v>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4.65" thickBot="1" x14ac:dyDescent="0.5">
      <c r="A30" s="4"/>
      <c r="B30" s="129" t="s">
        <v>158</v>
      </c>
      <c r="C30" s="18" t="s">
        <v>161</v>
      </c>
      <c r="D30" s="4">
        <f>IF($C$28&lt;=150,Datos!E109,"")</f>
        <v>52.97</v>
      </c>
      <c r="E30" s="4" t="str">
        <f>IF(AND(C11=D5,$D$12=$D$14,$C$14=F15),Datos!E66,"")</f>
        <v/>
      </c>
      <c r="F30" s="4" t="str">
        <f>IF(AND(OR($C$13=$D$15,$C$13=$D$16),$C$14=F15,C11=D5),Datos!E70,"")</f>
        <v/>
      </c>
      <c r="G30" s="4" t="str">
        <f>IF(AND(C11=D6,$D12=$D$14,$C$14=F15),Datos!E34,"")</f>
        <v/>
      </c>
      <c r="H30" s="4" t="str">
        <f>IF(AND(OR($C$13=$D$15,$C$13=$D$16),$C$14=F15,C11=D6),Datos!E40,"")</f>
        <v/>
      </c>
      <c r="I30" s="4"/>
      <c r="J30" s="7" t="s">
        <v>163</v>
      </c>
      <c r="K30" s="40"/>
      <c r="L30" s="20">
        <f>IF(OR(C30=A37,AND(C30=A36,C31&gt;=2011)),(L4+(M4/6))*L69,0)</f>
        <v>0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29" t="str">
        <f>IF(C30=A36,"¿En qué año aprobaste la oposición?","")</f>
        <v/>
      </c>
      <c r="C31" s="18"/>
      <c r="D31" s="4">
        <f>IF($C$28&lt;=200,Datos!E110,"")</f>
        <v>70.64</v>
      </c>
      <c r="E31" s="4" t="str">
        <f>IF(AND(C11=D5,$D$12=$D$14,$C$14=F16),Datos!E67,"")</f>
        <v/>
      </c>
      <c r="F31" s="4" t="str">
        <f>IF(AND(OR($C$13=$D$15,$C$13=$D$16),$C$14=F16,C11=D5),Datos!E71,"")</f>
        <v/>
      </c>
      <c r="G31" s="4" t="str">
        <f>IF(AND(C11=D6,$D12=$D$14,$C$14=F13),Datos!E35,"")</f>
        <v/>
      </c>
      <c r="H31" s="4" t="str">
        <f>IF(AND(OR($C$13=$D$15,$C$13=$D$16),$C$14=F16,C11=D6),Datos!E41,"")</f>
        <v/>
      </c>
      <c r="I31" s="4"/>
      <c r="J31" s="7" t="s">
        <v>164</v>
      </c>
      <c r="K31" s="40"/>
      <c r="L31" s="46">
        <f>IF(C30=A38,L4*0.0647+M4*0.0647/6,0)</f>
        <v>222.51925933333331</v>
      </c>
      <c r="M31" s="9">
        <v>0</v>
      </c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71" t="s">
        <v>169</v>
      </c>
      <c r="C32" s="172"/>
      <c r="D32" s="4">
        <f>IF($C$28&lt;=250,Datos!E111,"")</f>
        <v>88.29</v>
      </c>
      <c r="E32" s="4" t="str">
        <f>IF(AND($C$13=$D$14,$C$15&lt;&gt;"",$C$15&lt;&gt;$G$13,$C$14=F17),Datos!E36,"")</f>
        <v/>
      </c>
      <c r="F32" s="4"/>
      <c r="G32" s="4" t="str">
        <f>IF(AND(C11=D6,$D12=$D$14,$C$14=F16),Datos!E36,"")</f>
        <v/>
      </c>
      <c r="H32" s="4" t="str">
        <f>IF(AND(OR($C$13=$D$15,$C$13=$D$16),$C$14=F17,C11=D6),Datos!E42,"")</f>
        <v/>
      </c>
      <c r="I32" s="4"/>
      <c r="J32" s="14" t="s">
        <v>165</v>
      </c>
      <c r="K32" s="48">
        <f>L62</f>
        <v>0.19443709176266633</v>
      </c>
      <c r="L32" s="47">
        <f>L4*K32</f>
        <v>587.94082244286801</v>
      </c>
      <c r="M32" s="50">
        <f>M4*K32</f>
        <v>484.65778366945733</v>
      </c>
      <c r="O32" s="4"/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171</v>
      </c>
      <c r="C33" s="18" t="s">
        <v>138</v>
      </c>
      <c r="D33" s="4">
        <f>IF($C$28&lt;=300,Datos!E112,"")</f>
        <v>105.96</v>
      </c>
      <c r="E33" s="4" t="str">
        <f>IF(AND($C$13=$D$14,$C$15&lt;&gt;"",$C$15&lt;&gt;$G$13,$C$14=F18),Datos!E37,"")</f>
        <v/>
      </c>
      <c r="F33" s="4"/>
      <c r="G33" s="4" t="str">
        <f>IF(AND(C11=D6,$D12=$D$14,$C$14=F17),Datos!E37,"")</f>
        <v/>
      </c>
      <c r="H33" s="4"/>
      <c r="I33" s="4"/>
      <c r="O33" s="4" t="s">
        <v>176</v>
      </c>
      <c r="P33" s="4"/>
      <c r="Q33" s="4"/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191</v>
      </c>
      <c r="C34" s="116">
        <v>0</v>
      </c>
      <c r="D34" s="4">
        <f>IF($C$28&lt;=350,Datos!E113,"")</f>
        <v>123.62</v>
      </c>
      <c r="E34" s="4"/>
      <c r="F34" s="4" t="str">
        <f>IF(AND(OR($C$13=$D$15,$C$13=$D$16),$C$15&lt;&gt;"",$C$15&lt;&gt;$G$13,$C$14=F19),Datos!E44,"")</f>
        <v/>
      </c>
      <c r="G34" s="4" t="str">
        <f>IF(AND(C11=D6,$D12=$D$14,$C$14=F18),Datos!E38,"")</f>
        <v/>
      </c>
      <c r="H34" s="4"/>
      <c r="I34" s="4"/>
      <c r="O34" s="4" t="s">
        <v>177</v>
      </c>
      <c r="P34" s="4">
        <v>2400</v>
      </c>
      <c r="Q34" s="4">
        <v>2400</v>
      </c>
      <c r="R34" s="4"/>
      <c r="S34" s="4"/>
      <c r="T34" s="4"/>
      <c r="U34" s="4"/>
      <c r="V34" s="4"/>
      <c r="W34" s="4"/>
    </row>
    <row r="35" spans="1:23" ht="14.65" thickBot="1" x14ac:dyDescent="0.5">
      <c r="A35" s="4"/>
      <c r="B35" s="129" t="s">
        <v>190</v>
      </c>
      <c r="C35" s="116">
        <v>0</v>
      </c>
      <c r="D35" s="4">
        <f>IF($C$28&lt;=450,Datos!E114,"")</f>
        <v>141.27000000000001</v>
      </c>
      <c r="E35" s="4"/>
      <c r="F35" s="4"/>
      <c r="G35" s="4"/>
      <c r="H35" s="4"/>
      <c r="I35" s="4"/>
      <c r="J35" s="74" t="s">
        <v>167</v>
      </c>
      <c r="K35" s="75"/>
      <c r="L35" s="76"/>
      <c r="O35" s="4" t="s">
        <v>178</v>
      </c>
      <c r="P35" s="4">
        <v>2700</v>
      </c>
      <c r="Q35" s="4">
        <f>Q34+P35</f>
        <v>5100</v>
      </c>
      <c r="R35" s="4"/>
      <c r="S35" s="4"/>
      <c r="T35" s="4"/>
      <c r="U35" s="4"/>
      <c r="V35" s="4"/>
      <c r="W35" s="4"/>
    </row>
    <row r="36" spans="1:23" ht="14.65" thickBot="1" x14ac:dyDescent="0.5">
      <c r="A36" s="4" t="s">
        <v>159</v>
      </c>
      <c r="B36" s="41" t="s">
        <v>174</v>
      </c>
      <c r="C36" s="18">
        <v>0</v>
      </c>
      <c r="D36" s="4">
        <f>IF($C$28&lt;=450,Datos!E115,"")</f>
        <v>158.94</v>
      </c>
      <c r="E36" s="4"/>
      <c r="F36" s="4"/>
      <c r="G36" s="4"/>
      <c r="H36" s="4"/>
      <c r="I36" s="4"/>
      <c r="J36" s="36" t="s">
        <v>168</v>
      </c>
      <c r="K36" s="37"/>
      <c r="L36" s="70">
        <f>L4*12+M4*2</f>
        <v>41270.959999999999</v>
      </c>
      <c r="O36" s="4" t="s">
        <v>179</v>
      </c>
      <c r="P36" s="4">
        <v>4000</v>
      </c>
      <c r="Q36" s="4">
        <f>Q35+P36</f>
        <v>9100</v>
      </c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160</v>
      </c>
      <c r="B37" s="129" t="s">
        <v>173</v>
      </c>
      <c r="C37" s="18">
        <v>0</v>
      </c>
      <c r="D37" s="4">
        <f>IF($C$28&lt;=1000050,Datos!E116,"")</f>
        <v>176.59</v>
      </c>
      <c r="E37" s="4"/>
      <c r="F37" s="4"/>
      <c r="G37" s="4"/>
      <c r="H37" s="4"/>
      <c r="I37" s="4"/>
      <c r="J37" s="7" t="s">
        <v>259</v>
      </c>
      <c r="K37" s="8"/>
      <c r="L37" s="9">
        <f>IF(AND(C48="Sí",L36&lt;33007.2),TRUNC(L36*0.02),0)</f>
        <v>0</v>
      </c>
      <c r="M37" s="22"/>
      <c r="N37" s="22"/>
      <c r="O37" s="4" t="s">
        <v>180</v>
      </c>
      <c r="P37" s="4">
        <v>4500</v>
      </c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161</v>
      </c>
      <c r="B38" s="131" t="s">
        <v>196</v>
      </c>
      <c r="C38" s="18" t="s">
        <v>138</v>
      </c>
      <c r="D38" s="4" t="str">
        <f>IF(B70=A69,"Sí","No")</f>
        <v>No</v>
      </c>
      <c r="E38" s="4"/>
      <c r="F38" s="4"/>
      <c r="G38" s="4"/>
      <c r="H38" s="4"/>
      <c r="I38" s="4"/>
      <c r="J38" s="7" t="s">
        <v>265</v>
      </c>
      <c r="K38" s="8"/>
      <c r="L38" s="9">
        <f>IF(L36-L39&lt;14582,7302,IF(L36-L39&lt;17673.52,7302-(1.75*(L36-L39-14852)),IF(L36-L39&lt;19747.5,2364.34-(1.14*(L36-L39-17673.52)),0)))</f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182</v>
      </c>
      <c r="B39" s="129" t="s">
        <v>181</v>
      </c>
      <c r="C39" s="18" t="s">
        <v>182</v>
      </c>
      <c r="D39" s="4"/>
      <c r="E39" s="4"/>
      <c r="F39" s="4"/>
      <c r="G39" s="4"/>
      <c r="H39" s="4"/>
      <c r="I39" s="4"/>
      <c r="J39" s="36" t="s">
        <v>236</v>
      </c>
      <c r="K39" s="37"/>
      <c r="L39" s="70">
        <f>SUM(L28:L31)*14+SUM(M28:M31)*2</f>
        <v>3115.2696306666662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184</v>
      </c>
      <c r="B40" s="131" t="s">
        <v>189</v>
      </c>
      <c r="C40" s="18" t="s">
        <v>138</v>
      </c>
      <c r="D40" s="4"/>
      <c r="E40" s="4"/>
      <c r="F40" s="4"/>
      <c r="G40" s="4"/>
      <c r="H40" s="4"/>
      <c r="I40" s="4"/>
      <c r="J40" s="36" t="s">
        <v>241</v>
      </c>
      <c r="K40" s="37"/>
      <c r="L40" s="70">
        <f>C34+2000+M41</f>
        <v>2000</v>
      </c>
      <c r="M40" s="4"/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thickBot="1" x14ac:dyDescent="0.5">
      <c r="A41" s="4" t="s">
        <v>183</v>
      </c>
      <c r="B41" s="129" t="s">
        <v>192</v>
      </c>
      <c r="C41" s="18">
        <v>0</v>
      </c>
      <c r="D41" s="4"/>
      <c r="E41" s="4"/>
      <c r="F41" s="4"/>
      <c r="G41" s="4"/>
      <c r="H41" s="4"/>
      <c r="I41" s="4"/>
      <c r="J41" s="36" t="s">
        <v>170</v>
      </c>
      <c r="K41" s="37"/>
      <c r="L41" s="70">
        <f>IF(C33="Sí",1150+5550,5550)</f>
        <v>5550</v>
      </c>
      <c r="M41" s="4">
        <f>IF(AND(C39=A42,C40="No"),3500,IF(OR(C39=A41,C39=A42),7750,0))</f>
        <v>0</v>
      </c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 t="s">
        <v>185</v>
      </c>
      <c r="B42" s="173" t="s">
        <v>207</v>
      </c>
      <c r="C42" s="175">
        <v>0</v>
      </c>
      <c r="D42" s="4"/>
      <c r="E42" s="4"/>
      <c r="F42" s="4"/>
      <c r="G42" s="4"/>
      <c r="H42" s="4"/>
      <c r="I42" s="4"/>
      <c r="J42" s="36" t="s">
        <v>172</v>
      </c>
      <c r="K42" s="37"/>
      <c r="L42" s="70">
        <f>SUM(C71:C74)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x14ac:dyDescent="0.45">
      <c r="A43" s="4"/>
      <c r="B43" s="173"/>
      <c r="C43" s="176"/>
      <c r="D43" s="4"/>
      <c r="E43" s="4"/>
      <c r="F43" s="4"/>
      <c r="G43" s="4"/>
      <c r="H43" s="4"/>
      <c r="I43" s="4"/>
      <c r="J43" s="36" t="s">
        <v>175</v>
      </c>
      <c r="K43" s="37"/>
      <c r="L43" s="70">
        <f>IF(C38="no",M49/2+1400*C37,M49+2800*C37)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thickBot="1" x14ac:dyDescent="0.5">
      <c r="A44" s="4"/>
      <c r="B44" s="174"/>
      <c r="C44" s="177"/>
      <c r="D44" s="4"/>
      <c r="E44" s="4"/>
      <c r="F44" s="4"/>
      <c r="G44" s="4"/>
      <c r="H44" s="4"/>
      <c r="I44" s="4"/>
      <c r="J44" s="36" t="s">
        <v>186</v>
      </c>
      <c r="K44" s="37"/>
      <c r="L44" s="70">
        <f>IF(C39=A41,9000,IF(C39=A42,3000,0))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8" t="s">
        <v>207</v>
      </c>
      <c r="C45" s="175">
        <v>0</v>
      </c>
      <c r="D45" s="4"/>
      <c r="E45" s="4"/>
      <c r="F45" s="4"/>
      <c r="G45" s="4"/>
      <c r="H45" s="4"/>
      <c r="I45" s="4"/>
      <c r="J45" s="36" t="s">
        <v>187</v>
      </c>
      <c r="K45" s="37"/>
      <c r="L45" s="70">
        <f>SUM(C75:C78)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x14ac:dyDescent="0.45">
      <c r="A46" s="4"/>
      <c r="B46" s="173"/>
      <c r="C46" s="176"/>
      <c r="D46" s="4"/>
      <c r="E46" s="4"/>
      <c r="F46" s="4"/>
      <c r="G46" s="4"/>
      <c r="H46" s="4"/>
      <c r="I46" s="4"/>
      <c r="J46" s="36" t="s">
        <v>188</v>
      </c>
      <c r="K46" s="37"/>
      <c r="L46" s="70">
        <f>IF(C38="Sí",M51,M51/2)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4"/>
      <c r="B47" s="174"/>
      <c r="C47" s="177"/>
      <c r="D47" s="4"/>
      <c r="E47" s="4"/>
      <c r="F47" s="4"/>
      <c r="G47" s="4"/>
      <c r="H47" s="4"/>
      <c r="I47" s="4"/>
      <c r="J47" s="36" t="s">
        <v>206</v>
      </c>
      <c r="K47" s="37"/>
      <c r="L47" s="70">
        <f>IF(OR(C40="Sí",C39=A41),3000,0)</f>
        <v>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267</v>
      </c>
      <c r="C48" s="18" t="s">
        <v>138</v>
      </c>
      <c r="D48" s="4"/>
      <c r="E48" s="4"/>
      <c r="F48" s="4"/>
      <c r="G48" s="4"/>
      <c r="H48" s="4"/>
      <c r="I48" s="4"/>
      <c r="J48" s="7" t="s">
        <v>208</v>
      </c>
      <c r="K48" s="8"/>
      <c r="L48" s="9">
        <f>SUM(L41:L47)</f>
        <v>5550</v>
      </c>
      <c r="M48" s="4"/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129" t="s">
        <v>260</v>
      </c>
      <c r="D49" s="4"/>
      <c r="E49" s="4"/>
      <c r="F49" s="4"/>
      <c r="G49" s="4"/>
      <c r="H49" s="4"/>
      <c r="I49" s="4"/>
      <c r="J49" s="7" t="s">
        <v>209</v>
      </c>
      <c r="K49" s="8"/>
      <c r="L49" s="9">
        <f>MAX(0,L36-L39-L40-L38)</f>
        <v>36155.69036933333</v>
      </c>
      <c r="M49" s="4">
        <f>IF(C36=1,Q34,IF(C36=2,Q35,IF(C36=3,Q36,IF(C36&lt;1,0,Q36+4500*(C36-3)))))</f>
        <v>0</v>
      </c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193</v>
      </c>
      <c r="C50" s="109"/>
      <c r="D50" s="4"/>
      <c r="E50" s="4"/>
      <c r="F50" s="4"/>
      <c r="G50" s="4"/>
      <c r="H50" s="4"/>
      <c r="I50" s="4"/>
      <c r="J50" s="7" t="s">
        <v>210</v>
      </c>
      <c r="K50" s="8"/>
      <c r="L50" s="9">
        <f>IF(L48&gt;12450,0,MAX(0,MIN(12450,L49)-L48))</f>
        <v>6900</v>
      </c>
      <c r="M50" s="4"/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194</v>
      </c>
      <c r="C51" s="109" t="s">
        <v>182</v>
      </c>
      <c r="D51" s="4"/>
      <c r="E51" s="4"/>
      <c r="F51" s="4"/>
      <c r="G51" s="4"/>
      <c r="H51" s="4"/>
      <c r="I51" s="4"/>
      <c r="J51" s="7" t="s">
        <v>211</v>
      </c>
      <c r="K51" s="8"/>
      <c r="L51" s="9">
        <f>IF(IF(L48&gt;20200,0,IF(L49&gt;20200,MIN(20200-L48,20200-12450),MIN(L49-L48,L49-12450)))&lt;0,0,IF(L48&gt;20200,0,IF(L49&gt;20200,MIN(20200-L48,20200-12450),MIN(L49-L48,L49-12450))))</f>
        <v>7750</v>
      </c>
      <c r="M51" s="4">
        <f>C41*12000+C42*6000+C45*3000</f>
        <v>0</v>
      </c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22"/>
      <c r="B52" s="25" t="s">
        <v>201</v>
      </c>
      <c r="C52" s="18" t="s">
        <v>138</v>
      </c>
      <c r="D52" s="4"/>
      <c r="E52" s="4"/>
      <c r="F52" s="4"/>
      <c r="G52" s="4"/>
      <c r="H52" s="4"/>
      <c r="I52" s="4"/>
      <c r="J52" s="7" t="s">
        <v>212</v>
      </c>
      <c r="K52" s="8"/>
      <c r="L52" s="9">
        <f>IF(IF(L48&gt;35200,0,IF(L49&gt;35200,MIN(35200-L48,35200-20200),MIN(L49-L48,L49-20200)))&lt;0,0,IF(L48&gt;35200,0,IF(L49&gt;35200,MIN(35200-L48,35200-20200),MIN(L49-L48,L49-20200))))</f>
        <v>15000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26" t="s">
        <v>195</v>
      </c>
      <c r="C53" s="109"/>
      <c r="D53" s="4"/>
      <c r="E53" s="4"/>
      <c r="F53" s="4"/>
      <c r="G53" s="4"/>
      <c r="H53" s="4"/>
      <c r="I53" s="4"/>
      <c r="J53" s="7" t="s">
        <v>213</v>
      </c>
      <c r="K53" s="8"/>
      <c r="L53" s="9">
        <f>IF(IF(L48&gt;60000,0,IF(L49&gt;60000,MIN(35200-L48,60000-35200),MIN(L49-L48,L49-35200)))&lt;0,0,IF(L48&gt;60000,0,IF(L49&gt;60000,MIN(35200-L48,60000-35200),MIN(L49-L48,L49-35200))))</f>
        <v>955.69036933332973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129" t="s">
        <v>261</v>
      </c>
      <c r="H54" s="4"/>
      <c r="I54" s="4"/>
      <c r="J54" s="7" t="s">
        <v>214</v>
      </c>
      <c r="K54" s="8"/>
      <c r="L54" s="9">
        <f>IF(IF(L48&gt;30000,0,IF(L49&gt;300000,MIN(60000-L48,300000-60000),MIN(L49-L48,L49-60000)))&lt;0,0,IF(L48&gt;30000,0,IF(L49&gt;300000,MIN(60000-L48,300000-60000),MIN(L49-L48,L49-60000))))</f>
        <v>0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193</v>
      </c>
      <c r="C55" s="109"/>
      <c r="H55" s="4"/>
      <c r="I55" s="4"/>
      <c r="J55" s="7" t="s">
        <v>215</v>
      </c>
      <c r="K55" s="8"/>
      <c r="L55" s="9">
        <f>ROUND(L50*0.19,2)</f>
        <v>1311</v>
      </c>
      <c r="M55" s="4"/>
      <c r="N55" s="4"/>
      <c r="O55" s="22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194</v>
      </c>
      <c r="C56" s="109" t="s">
        <v>182</v>
      </c>
      <c r="G56" s="4"/>
      <c r="H56" s="4"/>
      <c r="I56" s="4"/>
      <c r="J56" s="7" t="s">
        <v>216</v>
      </c>
      <c r="K56" s="8"/>
      <c r="L56" s="9">
        <f>ROUND(L51*0.24,2)</f>
        <v>1860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5" t="s">
        <v>201</v>
      </c>
      <c r="C57" s="18" t="s">
        <v>138</v>
      </c>
      <c r="G57" s="4"/>
      <c r="H57" s="4"/>
      <c r="I57" s="4"/>
      <c r="J57" s="7" t="s">
        <v>217</v>
      </c>
      <c r="K57" s="8"/>
      <c r="L57" s="9">
        <f>ROUND(L52*0.3,2)</f>
        <v>4500</v>
      </c>
      <c r="M57" s="4"/>
      <c r="N57" s="4"/>
      <c r="P57" s="4"/>
      <c r="Q57" s="4"/>
      <c r="R57" s="4"/>
      <c r="S57" s="4"/>
      <c r="T57" s="4"/>
      <c r="U57" s="4"/>
      <c r="V57" s="4"/>
      <c r="W57" s="4"/>
    </row>
    <row r="58" spans="1:23" ht="14.75" customHeight="1" thickBot="1" x14ac:dyDescent="0.5">
      <c r="A58" s="4"/>
      <c r="B58" s="26" t="s">
        <v>195</v>
      </c>
      <c r="C58" s="109"/>
      <c r="G58" s="4"/>
      <c r="H58" s="4"/>
      <c r="I58" s="4"/>
      <c r="J58" s="7" t="s">
        <v>218</v>
      </c>
      <c r="K58" s="8"/>
      <c r="L58" s="9">
        <f>ROUND(L53*0.37,2)</f>
        <v>353.61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129" t="s">
        <v>262</v>
      </c>
      <c r="G59" s="4"/>
      <c r="H59" s="4"/>
      <c r="I59" s="4"/>
      <c r="J59" s="7" t="s">
        <v>219</v>
      </c>
      <c r="K59" s="8"/>
      <c r="L59" s="9">
        <f>ROUND(L54*0.45,2)</f>
        <v>0</v>
      </c>
      <c r="M59" s="132"/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193</v>
      </c>
      <c r="C60" s="109"/>
      <c r="G60" s="4"/>
      <c r="H60" s="4"/>
      <c r="I60" s="4"/>
      <c r="J60" s="7" t="s">
        <v>266</v>
      </c>
      <c r="K60" s="8"/>
      <c r="L60" s="49">
        <f>SUM(L55:L59)</f>
        <v>8024.61</v>
      </c>
      <c r="M60" s="132"/>
      <c r="N60" s="22"/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132"/>
      <c r="B61" s="25" t="s">
        <v>194</v>
      </c>
      <c r="C61" s="109" t="s">
        <v>182</v>
      </c>
      <c r="G61" s="4"/>
      <c r="H61" s="4"/>
      <c r="I61" s="4"/>
      <c r="J61" s="7" t="s">
        <v>362</v>
      </c>
      <c r="K61" s="8"/>
      <c r="L61" s="49">
        <f>MIN(MAX(0,C130-L37),N62,N64,N63)</f>
        <v>8024.6054366533317</v>
      </c>
      <c r="M61" s="133">
        <f>MAX(0,C130-L37)</f>
        <v>8024.6054366533317</v>
      </c>
      <c r="N61" s="22">
        <f>IF(L36&lt;=35200,IF(B70=A69,1,IF(B70=A70,2,(IF(B70=A71,3,0)))),0)</f>
        <v>0</v>
      </c>
      <c r="P61" s="4"/>
      <c r="Q61" s="4"/>
      <c r="R61" s="4"/>
      <c r="S61" s="4"/>
      <c r="T61" s="4"/>
      <c r="U61" s="4"/>
      <c r="V61" s="4"/>
      <c r="W61" s="4"/>
    </row>
    <row r="62" spans="1:23" ht="14.65" thickBot="1" x14ac:dyDescent="0.5">
      <c r="A62" s="132"/>
      <c r="B62" s="27" t="s">
        <v>201</v>
      </c>
      <c r="C62" s="18" t="s">
        <v>138</v>
      </c>
      <c r="G62" s="4"/>
      <c r="H62" s="4"/>
      <c r="I62" s="4"/>
      <c r="J62" s="80" t="s">
        <v>220</v>
      </c>
      <c r="K62" s="81"/>
      <c r="L62" s="82">
        <f>IF(M62&lt;0.02,0.02,M62)</f>
        <v>0.19443709176266633</v>
      </c>
      <c r="M62" s="132">
        <f>IF(L61&lt;L60,L61/L36,L60/L36)</f>
        <v>0.19443709176266633</v>
      </c>
      <c r="N62" s="22">
        <f>IF(N61=1,(IF(C36=1,0.43*(L36-17644),IF(C36&gt;2,0.43*(L36-18694),1000000))),1000000)</f>
        <v>1000000</v>
      </c>
    </row>
    <row r="63" spans="1:23" ht="14.65" thickBot="1" x14ac:dyDescent="0.5">
      <c r="A63" s="132"/>
      <c r="B63" s="26" t="s">
        <v>195</v>
      </c>
      <c r="C63" s="109"/>
      <c r="G63" s="4"/>
      <c r="H63" s="4"/>
      <c r="I63" s="4"/>
      <c r="M63" s="132"/>
      <c r="N63" s="22">
        <f>IF(N61=2,(IF(C36=1,0.43*(L36-18130),IF(C36&gt;1,0.43*(L36-19262),0.43*(L36-17197)))),1000000)</f>
        <v>1000000</v>
      </c>
    </row>
    <row r="64" spans="1:23" ht="14.65" thickBot="1" x14ac:dyDescent="0.5">
      <c r="A64" s="132"/>
      <c r="B64" s="129" t="s">
        <v>263</v>
      </c>
      <c r="G64" s="4"/>
      <c r="H64" s="4"/>
      <c r="I64" s="4"/>
      <c r="J64" s="74" t="s">
        <v>222</v>
      </c>
      <c r="K64" s="77"/>
      <c r="L64" s="78"/>
      <c r="M64" s="132"/>
      <c r="N64" s="22">
        <f>IF(N61=3,(IF(C36=1,0.43*(L36-16342),IF(C36&gt;1,0.43*(L36-16867),0.43*(L36-15876)))),1000000)</f>
        <v>1000000</v>
      </c>
    </row>
    <row r="65" spans="1:14" ht="14.65" thickBot="1" x14ac:dyDescent="0.5">
      <c r="A65" s="132"/>
      <c r="B65" s="25" t="s">
        <v>193</v>
      </c>
      <c r="C65" s="109"/>
      <c r="G65" s="4"/>
      <c r="H65" s="4"/>
      <c r="I65" s="4"/>
      <c r="J65" s="7" t="s">
        <v>224</v>
      </c>
      <c r="L65" s="71">
        <v>4.7E-2</v>
      </c>
      <c r="N65" s="22"/>
    </row>
    <row r="66" spans="1:14" ht="14.65" thickBot="1" x14ac:dyDescent="0.5">
      <c r="A66" s="138"/>
      <c r="B66" s="25" t="s">
        <v>194</v>
      </c>
      <c r="C66" s="109" t="s">
        <v>182</v>
      </c>
      <c r="G66" s="4"/>
      <c r="H66" s="4"/>
      <c r="I66" s="4"/>
      <c r="J66" s="7" t="s">
        <v>225</v>
      </c>
      <c r="L66" s="71">
        <v>1.1999999999999999E-3</v>
      </c>
    </row>
    <row r="67" spans="1:14" ht="14.65" thickBot="1" x14ac:dyDescent="0.5">
      <c r="A67" s="138"/>
      <c r="B67" s="27" t="s">
        <v>201</v>
      </c>
      <c r="C67" s="18" t="s">
        <v>138</v>
      </c>
      <c r="G67" s="4"/>
      <c r="H67" s="4"/>
      <c r="I67" s="4"/>
      <c r="J67" s="7" t="s">
        <v>230</v>
      </c>
      <c r="L67" s="71">
        <v>0.28299999999999997</v>
      </c>
    </row>
    <row r="68" spans="1:14" ht="14.65" thickBot="1" x14ac:dyDescent="0.5">
      <c r="A68" s="138"/>
      <c r="B68" s="27" t="s">
        <v>195</v>
      </c>
      <c r="C68" s="109"/>
      <c r="G68" s="4"/>
      <c r="H68" s="4"/>
      <c r="I68" s="4"/>
      <c r="J68" s="7" t="s">
        <v>229</v>
      </c>
      <c r="L68" s="40">
        <v>1.0999999999999999E-2</v>
      </c>
    </row>
    <row r="69" spans="1:14" ht="14.65" thickBot="1" x14ac:dyDescent="0.5">
      <c r="A69" s="139" t="s">
        <v>240</v>
      </c>
      <c r="B69" s="41" t="s">
        <v>237</v>
      </c>
      <c r="C69" s="69">
        <f>IF(B70=A69,1,IF(B70=A70,2,IF(B70=A71,3,0)))</f>
        <v>3</v>
      </c>
      <c r="G69" s="4"/>
      <c r="H69" s="4"/>
      <c r="I69" s="4"/>
      <c r="J69" s="80" t="s">
        <v>228</v>
      </c>
      <c r="K69" s="81"/>
      <c r="L69" s="83">
        <f>L65+L66-ROUND((L67*L68),4)</f>
        <v>4.5100000000000001E-2</v>
      </c>
    </row>
    <row r="70" spans="1:14" ht="42" customHeight="1" thickBot="1" x14ac:dyDescent="0.5">
      <c r="A70" s="139" t="s">
        <v>238</v>
      </c>
      <c r="B70" s="161" t="s">
        <v>239</v>
      </c>
      <c r="C70" s="162"/>
      <c r="D70" s="132"/>
      <c r="G70" s="4"/>
      <c r="H70" s="4"/>
      <c r="I70" s="4"/>
    </row>
    <row r="71" spans="1:14" x14ac:dyDescent="0.45">
      <c r="A71" s="139" t="s">
        <v>239</v>
      </c>
      <c r="B71" s="4" t="s">
        <v>197</v>
      </c>
      <c r="C71" s="4">
        <f>IF(C50&gt;=75,ROUND((1150+1400)/C53,2),IF(C50&gt;=65,ROUND(1150/C53,2),0))</f>
        <v>0</v>
      </c>
      <c r="G71" s="4"/>
      <c r="H71" s="4"/>
      <c r="I71" s="4"/>
      <c r="J71" s="74" t="s">
        <v>223</v>
      </c>
      <c r="K71" s="77"/>
      <c r="L71" s="78"/>
    </row>
    <row r="72" spans="1:14" x14ac:dyDescent="0.45">
      <c r="A72" s="132"/>
      <c r="B72" s="4" t="s">
        <v>198</v>
      </c>
      <c r="C72" s="4">
        <f>IF(C55&gt;=75,ROUND((1150+1400)/C58,2),IF(C55&gt;=65,ROUND(1150/C58,2),0))</f>
        <v>0</v>
      </c>
      <c r="D72" s="4"/>
      <c r="E72" s="4"/>
      <c r="F72" s="4"/>
      <c r="G72" s="4"/>
      <c r="H72" s="4"/>
      <c r="I72" s="4"/>
      <c r="J72" s="7" t="s">
        <v>224</v>
      </c>
      <c r="L72" s="71">
        <v>4.7E-2</v>
      </c>
    </row>
    <row r="73" spans="1:14" x14ac:dyDescent="0.45">
      <c r="A73" s="132"/>
      <c r="B73" s="4" t="s">
        <v>199</v>
      </c>
      <c r="C73" s="4">
        <f>IF(C60&gt;=75,ROUND((1150+1400)/C63,2),IF(C60&gt;=65,ROUND(1150/C63,2),0))</f>
        <v>0</v>
      </c>
      <c r="D73" s="4"/>
      <c r="E73" s="4"/>
      <c r="F73" s="4"/>
      <c r="G73" s="4"/>
      <c r="H73" s="4"/>
      <c r="I73" s="4"/>
      <c r="J73" s="7" t="s">
        <v>225</v>
      </c>
      <c r="L73" s="71">
        <v>1.1999999999999999E-3</v>
      </c>
    </row>
    <row r="74" spans="1:14" x14ac:dyDescent="0.45">
      <c r="A74" s="132"/>
      <c r="B74" s="4" t="s">
        <v>200</v>
      </c>
      <c r="C74" s="4">
        <f>IF(C65&gt;=75,ROUND((1150+1400)/C68,2),IF(C65&gt;=65,ROUND(1150/C68,2),0))</f>
        <v>0</v>
      </c>
      <c r="D74" s="4"/>
      <c r="E74" s="4"/>
      <c r="F74" s="4"/>
      <c r="G74" s="4"/>
      <c r="H74" s="4"/>
      <c r="I74" s="4"/>
      <c r="J74" s="7" t="s">
        <v>226</v>
      </c>
      <c r="L74" s="71">
        <v>1.55E-2</v>
      </c>
    </row>
    <row r="75" spans="1:14" x14ac:dyDescent="0.45">
      <c r="A75" s="132"/>
      <c r="B75" s="4" t="s">
        <v>202</v>
      </c>
      <c r="C75" s="4">
        <f>IF(C50&lt;65,0,IF(C51=A41,ROUND(12000/C53,2),IF(AND(C51=A42,C52="No"),ROUND(3000/C53,2),IF(AND(C51=A42,C52="Sí"),ROUND(6000/C53,2),""))))</f>
        <v>0</v>
      </c>
      <c r="D75" s="4"/>
      <c r="E75" s="4"/>
      <c r="F75" s="4"/>
      <c r="G75" s="4"/>
      <c r="H75" s="4"/>
      <c r="I75" s="4"/>
      <c r="J75" s="7" t="s">
        <v>227</v>
      </c>
      <c r="L75" s="71">
        <v>1E-3</v>
      </c>
    </row>
    <row r="76" spans="1:14" ht="14.65" thickBot="1" x14ac:dyDescent="0.5">
      <c r="A76" s="132"/>
      <c r="B76" s="4" t="s">
        <v>203</v>
      </c>
      <c r="C76" s="4">
        <f>IF(C55&lt;65,0,IF(C56=A41,ROUND(12000/C58,2),IF(AND(C56=A42,C57="No"),ROUND(3000/C58,2),IF(AND(C56=A42,C57="Sí"),ROUND(6000/C58,2),""))))</f>
        <v>0</v>
      </c>
      <c r="D76" s="4"/>
      <c r="E76" s="4"/>
      <c r="F76" s="4"/>
      <c r="G76" s="4"/>
      <c r="H76" s="4"/>
      <c r="I76" s="4"/>
      <c r="J76" s="80" t="s">
        <v>228</v>
      </c>
      <c r="K76" s="81"/>
      <c r="L76" s="82">
        <f>SUM(L72:L75)</f>
        <v>6.4700000000000008E-2</v>
      </c>
    </row>
    <row r="77" spans="1:14" x14ac:dyDescent="0.45">
      <c r="A77" s="132"/>
      <c r="B77" s="4" t="s">
        <v>204</v>
      </c>
      <c r="C77" s="4">
        <f>IF(C60&lt;65,0,IF(C61=A41,ROUND(12000/C63,2),IF(AND(C61=A42,C62="No"),ROUND(3000/C63,2),IF(AND(C61=A42,C62="Sí"),ROUND(6000/C63,2),""))))</f>
        <v>0</v>
      </c>
      <c r="D77" s="4"/>
      <c r="E77" s="4"/>
      <c r="F77" s="4"/>
      <c r="G77" s="4"/>
      <c r="H77" s="4"/>
      <c r="I77" s="4"/>
    </row>
    <row r="78" spans="1:14" x14ac:dyDescent="0.45">
      <c r="A78" s="132"/>
      <c r="B78" s="4" t="s">
        <v>205</v>
      </c>
      <c r="C78" s="4">
        <f>IF(C65&lt;65,0,IF(C66=A41,ROUND(12000/C68,2),IF(AND(C66=A42,C67="No"),ROUND(3000/C68,2),IF(AND(C66=A42,C67="Sí"),ROUND(6000/C68,2),""))))</f>
        <v>0</v>
      </c>
      <c r="D78" s="4"/>
      <c r="E78" s="4"/>
      <c r="F78" s="4"/>
      <c r="G78" s="4"/>
      <c r="H78" s="4"/>
      <c r="I78" s="4"/>
    </row>
    <row r="79" spans="1:14" x14ac:dyDescent="0.45">
      <c r="A79" s="132"/>
      <c r="B79" s="4"/>
      <c r="C79" s="4"/>
      <c r="I79" s="4"/>
    </row>
    <row r="80" spans="1:14" x14ac:dyDescent="0.45">
      <c r="A80" s="132"/>
      <c r="B80" s="4" t="s">
        <v>242</v>
      </c>
      <c r="C80" s="132"/>
      <c r="D80" s="132"/>
      <c r="E80" s="132"/>
      <c r="F80" s="132"/>
      <c r="G80" s="132"/>
      <c r="H80" s="132"/>
      <c r="I80" s="132"/>
      <c r="J80" s="132"/>
      <c r="K80" s="132"/>
    </row>
    <row r="81" spans="1:11" x14ac:dyDescent="0.45">
      <c r="A81" s="132"/>
      <c r="B81" s="135" t="s">
        <v>243</v>
      </c>
      <c r="C81" s="134">
        <f>L49-C35</f>
        <v>36155.69036933333</v>
      </c>
      <c r="D81" s="135"/>
      <c r="E81" s="135"/>
      <c r="F81" s="135"/>
      <c r="G81" s="135"/>
      <c r="H81" s="135"/>
      <c r="I81" s="135"/>
      <c r="J81" s="135"/>
      <c r="K81" s="135"/>
    </row>
    <row r="82" spans="1:11" x14ac:dyDescent="0.45">
      <c r="A82" s="132"/>
      <c r="B82" s="135" t="s">
        <v>244</v>
      </c>
      <c r="C82" s="134">
        <f>C35</f>
        <v>0</v>
      </c>
      <c r="D82" s="135"/>
      <c r="E82" s="135"/>
      <c r="F82" s="135"/>
      <c r="G82" s="135"/>
      <c r="H82" s="135"/>
      <c r="I82" s="135"/>
      <c r="J82" s="135"/>
      <c r="K82" s="135"/>
    </row>
    <row r="83" spans="1:11" x14ac:dyDescent="0.45">
      <c r="B83" s="135" t="s">
        <v>245</v>
      </c>
      <c r="C83" s="136">
        <f>MAX(B85:B90)</f>
        <v>9079.1054366533317</v>
      </c>
      <c r="D83" s="135"/>
      <c r="E83" s="135"/>
      <c r="F83" s="135"/>
      <c r="G83" s="135"/>
      <c r="H83" s="135"/>
      <c r="I83" s="135"/>
      <c r="J83" s="135"/>
      <c r="K83" s="135"/>
    </row>
    <row r="84" spans="1:11" x14ac:dyDescent="0.45">
      <c r="B84" s="135" t="s">
        <v>247</v>
      </c>
      <c r="C84" s="135"/>
      <c r="D84" s="135"/>
      <c r="E84" s="135"/>
      <c r="F84" s="135"/>
      <c r="G84" s="135"/>
      <c r="H84" s="135"/>
      <c r="I84" s="135"/>
      <c r="J84" s="135"/>
      <c r="K84" s="135"/>
    </row>
    <row r="85" spans="1:11" x14ac:dyDescent="0.45">
      <c r="B85" s="135" t="str">
        <f>IF(C81&lt;12450,0+(C81)*0.19,"")</f>
        <v/>
      </c>
      <c r="C85" s="135"/>
      <c r="D85" s="135"/>
      <c r="E85" s="135"/>
      <c r="F85" s="135"/>
      <c r="G85" s="135"/>
      <c r="H85" s="135"/>
      <c r="I85" s="135"/>
      <c r="J85" s="135"/>
      <c r="K85" s="135"/>
    </row>
    <row r="86" spans="1:11" x14ac:dyDescent="0.45">
      <c r="B86" s="135" t="str">
        <f>IF(AND(C81&gt;=12450,C81&lt;20200),2365.5+(C81-12450)*0.24,"")</f>
        <v/>
      </c>
      <c r="C86" s="135"/>
      <c r="D86" s="135"/>
      <c r="E86" s="135"/>
      <c r="F86" s="135"/>
      <c r="G86" s="135"/>
      <c r="H86" s="135"/>
      <c r="I86" s="135"/>
      <c r="J86" s="135"/>
      <c r="K86" s="135"/>
    </row>
    <row r="87" spans="1:11" x14ac:dyDescent="0.45">
      <c r="B87" s="135" t="str">
        <f>IF(AND(C81&gt;=20200,C81&lt;35200),4225.5+(C81-20200)*0.3,"")</f>
        <v/>
      </c>
      <c r="C87" s="135"/>
      <c r="D87" s="135"/>
      <c r="E87" s="135"/>
      <c r="F87" s="135"/>
      <c r="G87" s="135"/>
      <c r="H87" s="135"/>
      <c r="I87" s="135"/>
      <c r="J87" s="135"/>
      <c r="K87" s="135"/>
    </row>
    <row r="88" spans="1:11" x14ac:dyDescent="0.45">
      <c r="B88" s="135">
        <f>IF(AND(C81&gt;=35200,C81&lt;60000),8725.5+(C81-35200)*0.37,"")</f>
        <v>9079.1054366533317</v>
      </c>
      <c r="C88" s="135"/>
      <c r="D88" s="135"/>
      <c r="E88" s="135"/>
      <c r="F88" s="135"/>
      <c r="G88" s="135"/>
      <c r="H88" s="135"/>
      <c r="I88" s="135"/>
      <c r="J88" s="135"/>
      <c r="K88" s="135"/>
    </row>
    <row r="89" spans="1:11" x14ac:dyDescent="0.45">
      <c r="B89" s="135" t="str">
        <f>IF(AND(C81&gt;=60000,C81&lt;300000),17901.5+(C81-60000)*0.45,"")</f>
        <v/>
      </c>
      <c r="C89" s="135"/>
      <c r="D89" s="135"/>
      <c r="E89" s="135"/>
      <c r="F89" s="135"/>
      <c r="G89" s="135"/>
      <c r="H89" s="135"/>
      <c r="I89" s="135"/>
      <c r="J89" s="135"/>
      <c r="K89" s="135"/>
    </row>
    <row r="90" spans="1:11" x14ac:dyDescent="0.45">
      <c r="B90" s="135" t="str">
        <f>IF(C81&gt;300000,125901.5+(C81-300000)*0.47,"")</f>
        <v/>
      </c>
      <c r="C90" s="135"/>
      <c r="D90" s="135"/>
      <c r="E90" s="135"/>
      <c r="F90" s="135"/>
      <c r="G90" s="135"/>
      <c r="H90" s="135"/>
      <c r="I90" s="135"/>
      <c r="J90" s="135"/>
      <c r="K90" s="135"/>
    </row>
    <row r="91" spans="1:11" x14ac:dyDescent="0.45">
      <c r="B91" s="135" t="s">
        <v>246</v>
      </c>
      <c r="C91" s="136">
        <f>MAX(B92:B97)</f>
        <v>0</v>
      </c>
      <c r="D91" s="135"/>
      <c r="E91" s="135"/>
      <c r="F91" s="135"/>
      <c r="G91" s="135"/>
      <c r="H91" s="135"/>
      <c r="I91" s="135"/>
      <c r="J91" s="135"/>
      <c r="K91" s="135"/>
    </row>
    <row r="92" spans="1:11" x14ac:dyDescent="0.45">
      <c r="B92" s="135">
        <f>IF(C82&lt;12450,0+(C82)*0.19,"")</f>
        <v>0</v>
      </c>
      <c r="C92" s="135"/>
      <c r="D92" s="135"/>
      <c r="E92" s="135"/>
      <c r="F92" s="135"/>
      <c r="G92" s="135"/>
      <c r="H92" s="135"/>
      <c r="I92" s="135"/>
      <c r="J92" s="135"/>
      <c r="K92" s="135"/>
    </row>
    <row r="93" spans="1:11" x14ac:dyDescent="0.45">
      <c r="B93" s="135" t="str">
        <f>IF(AND(C82&gt;=12450,C82&lt;20200),2365.5+(C82-12450)*0.24,"")</f>
        <v/>
      </c>
      <c r="C93" s="135"/>
      <c r="D93" s="135"/>
      <c r="E93" s="135"/>
      <c r="F93" s="135"/>
      <c r="G93" s="135"/>
      <c r="H93" s="135"/>
      <c r="I93" s="135"/>
      <c r="J93" s="135"/>
      <c r="K93" s="135"/>
    </row>
    <row r="94" spans="1:11" x14ac:dyDescent="0.45">
      <c r="B94" s="135" t="str">
        <f>IF(AND(C82&gt;=20200,C82&lt;35200),4225.5+(C82-20200)*0.3,"")</f>
        <v/>
      </c>
      <c r="C94" s="135"/>
      <c r="D94" s="135"/>
      <c r="E94" s="135"/>
      <c r="F94" s="135"/>
      <c r="G94" s="135"/>
      <c r="H94" s="135"/>
      <c r="I94" s="135"/>
      <c r="J94" s="135"/>
      <c r="K94" s="135"/>
    </row>
    <row r="95" spans="1:11" x14ac:dyDescent="0.45">
      <c r="B95" s="135" t="str">
        <f>IF(AND(C82&gt;=35200,C82&lt;60000),8725.5+(C82-35200)*0.37,"")</f>
        <v/>
      </c>
      <c r="C95" s="135"/>
      <c r="D95" s="135"/>
      <c r="E95" s="135"/>
      <c r="F95" s="135"/>
      <c r="G95" s="135"/>
      <c r="H95" s="135"/>
      <c r="I95" s="135"/>
      <c r="J95" s="135"/>
      <c r="K95" s="135"/>
    </row>
    <row r="96" spans="1:11" x14ac:dyDescent="0.45">
      <c r="B96" s="135" t="str">
        <f>IF(AND(C82&gt;=60000,C82&lt;300000),17901.5+(C82-60000)*0.45,"")</f>
        <v/>
      </c>
      <c r="C96" s="135"/>
      <c r="D96" s="135"/>
      <c r="E96" s="135"/>
      <c r="F96" s="135"/>
      <c r="G96" s="135"/>
      <c r="H96" s="135"/>
      <c r="I96" s="135"/>
      <c r="J96" s="135"/>
      <c r="K96" s="135"/>
    </row>
    <row r="97" spans="2:11" x14ac:dyDescent="0.45">
      <c r="B97" s="135" t="str">
        <f>IF(C82&gt;300000,125901.5+(C82-300000)*0.47,"")</f>
        <v/>
      </c>
      <c r="C97" s="135"/>
      <c r="D97" s="135"/>
      <c r="E97" s="135"/>
      <c r="F97" s="135"/>
      <c r="G97" s="135"/>
      <c r="H97" s="135"/>
      <c r="I97" s="135"/>
      <c r="J97" s="135"/>
      <c r="K97" s="135"/>
    </row>
    <row r="98" spans="2:11" x14ac:dyDescent="0.45">
      <c r="B98" s="135" t="s">
        <v>248</v>
      </c>
      <c r="C98" s="134">
        <f>IF(AND(C35&gt;0,L49-C35&gt;0),C91+C83,C108)</f>
        <v>9079.1054366533317</v>
      </c>
      <c r="D98" s="135"/>
      <c r="E98" s="135"/>
      <c r="F98" s="135"/>
      <c r="G98" s="135"/>
      <c r="H98" s="135"/>
      <c r="I98" s="135"/>
      <c r="J98" s="135"/>
      <c r="K98" s="135"/>
    </row>
    <row r="99" spans="2:11" x14ac:dyDescent="0.45">
      <c r="B99" s="135" t="s">
        <v>249</v>
      </c>
      <c r="C99" s="136">
        <f>IF(AND(C35&gt;0,L49-C35&gt;0),L48+1980,L48)</f>
        <v>5550</v>
      </c>
      <c r="D99" s="135"/>
      <c r="E99" s="135"/>
      <c r="F99" s="135"/>
      <c r="G99" s="135"/>
      <c r="H99" s="135"/>
      <c r="I99" s="135"/>
      <c r="J99" s="135"/>
      <c r="K99" s="135"/>
    </row>
    <row r="100" spans="2:11" x14ac:dyDescent="0.45">
      <c r="B100" s="135" t="s">
        <v>250</v>
      </c>
      <c r="C100" s="136">
        <f>MAX(B101:B106)</f>
        <v>1054.5</v>
      </c>
      <c r="D100" s="135"/>
      <c r="E100" s="135"/>
      <c r="F100" s="135"/>
      <c r="G100" s="135"/>
      <c r="H100" s="135"/>
      <c r="I100" s="135"/>
      <c r="J100" s="135"/>
      <c r="K100" s="135"/>
    </row>
    <row r="101" spans="2:11" x14ac:dyDescent="0.45">
      <c r="B101" s="135">
        <f>IF(C99&lt;12450,0+(C99)*0.19,"")</f>
        <v>1054.5</v>
      </c>
      <c r="C101" s="135"/>
      <c r="D101" s="135"/>
      <c r="E101" s="135"/>
      <c r="F101" s="135"/>
      <c r="G101" s="135"/>
      <c r="H101" s="135"/>
      <c r="I101" s="135"/>
      <c r="J101" s="135"/>
      <c r="K101" s="135"/>
    </row>
    <row r="102" spans="2:11" x14ac:dyDescent="0.45">
      <c r="B102" s="135" t="str">
        <f>IF(AND(C99&gt;=12450,C99&lt;20200),2365.5+(C99-12450)*0.24,"")</f>
        <v/>
      </c>
      <c r="C102" s="135"/>
      <c r="D102" s="135"/>
      <c r="E102" s="135"/>
      <c r="F102" s="135"/>
      <c r="G102" s="135"/>
      <c r="H102" s="135"/>
      <c r="I102" s="135"/>
      <c r="J102" s="135"/>
      <c r="K102" s="135"/>
    </row>
    <row r="103" spans="2:11" x14ac:dyDescent="0.45">
      <c r="B103" s="135" t="str">
        <f>IF(AND(C99&gt;=20200,C99&lt;35200),4225.5+(C99-20200)*0.3,"")</f>
        <v/>
      </c>
      <c r="C103" s="135"/>
      <c r="D103" s="135"/>
      <c r="E103" s="135"/>
      <c r="F103" s="135"/>
      <c r="G103" s="135"/>
      <c r="H103" s="135"/>
      <c r="I103" s="135"/>
      <c r="J103" s="135"/>
      <c r="K103" s="135"/>
    </row>
    <row r="104" spans="2:11" x14ac:dyDescent="0.45">
      <c r="B104" s="135" t="str">
        <f>IF(AND(C99&gt;=35200,C99&lt;60000),8725.5+(C99-35200)*0.37,"")</f>
        <v/>
      </c>
      <c r="C104" s="135"/>
      <c r="D104" s="135"/>
      <c r="E104" s="135"/>
      <c r="F104" s="135"/>
      <c r="G104" s="135"/>
      <c r="H104" s="135"/>
      <c r="I104" s="135"/>
      <c r="J104" s="135"/>
      <c r="K104" s="135"/>
    </row>
    <row r="105" spans="2:11" x14ac:dyDescent="0.45">
      <c r="B105" s="135" t="str">
        <f>IF(AND(C99&gt;=60000,C99&lt;300000),17901.5+(C99-60000)*0.45,"")</f>
        <v/>
      </c>
      <c r="C105" s="135"/>
      <c r="D105" s="135"/>
      <c r="E105" s="135"/>
      <c r="F105" s="135"/>
      <c r="G105" s="135"/>
      <c r="H105" s="135"/>
      <c r="I105" s="135"/>
      <c r="J105" s="135"/>
      <c r="K105" s="135"/>
    </row>
    <row r="106" spans="2:11" x14ac:dyDescent="0.45">
      <c r="B106" s="135" t="str">
        <f>IF(C99&gt;300000,125901.5+(C99-300000)*0.47,"")</f>
        <v/>
      </c>
      <c r="C106" s="135"/>
      <c r="D106" s="135"/>
      <c r="E106" s="135"/>
      <c r="F106" s="135"/>
      <c r="G106" s="135"/>
      <c r="H106" s="135"/>
      <c r="I106" s="135"/>
      <c r="J106" s="135"/>
      <c r="K106" s="135"/>
    </row>
    <row r="107" spans="2:11" x14ac:dyDescent="0.45">
      <c r="B107" s="135" t="s">
        <v>251</v>
      </c>
      <c r="C107" s="137">
        <f>IF(C98&gt;C100,C98-C100,L60)</f>
        <v>8024.6054366533317</v>
      </c>
      <c r="D107" s="135"/>
      <c r="E107" s="135"/>
      <c r="F107" s="135"/>
      <c r="G107" s="135"/>
      <c r="H107" s="135"/>
      <c r="I107" s="135"/>
      <c r="J107" s="135"/>
      <c r="K107" s="135"/>
    </row>
    <row r="108" spans="2:11" x14ac:dyDescent="0.45">
      <c r="B108" s="135" t="s">
        <v>252</v>
      </c>
      <c r="C108" s="136">
        <f>MAX(B109:B115)</f>
        <v>9079.1054366533317</v>
      </c>
      <c r="D108" s="135"/>
      <c r="E108" s="135"/>
      <c r="F108" s="135"/>
      <c r="G108" s="135"/>
      <c r="H108" s="135"/>
      <c r="I108" s="135"/>
      <c r="J108" s="135"/>
      <c r="K108" s="135"/>
    </row>
    <row r="109" spans="2:11" x14ac:dyDescent="0.45">
      <c r="B109" s="135" t="str">
        <f>IF(L49&lt;12450,0+(L49)*0.19,"")</f>
        <v/>
      </c>
      <c r="C109" s="135"/>
      <c r="D109" s="135"/>
      <c r="E109" s="135"/>
      <c r="F109" s="135"/>
      <c r="G109" s="135"/>
      <c r="H109" s="135"/>
      <c r="I109" s="135"/>
      <c r="J109" s="135"/>
      <c r="K109" s="135"/>
    </row>
    <row r="110" spans="2:11" x14ac:dyDescent="0.45">
      <c r="B110" s="135" t="str">
        <f>IF(AND(L49&gt;=12450,L49&lt;20200),2365.5+(L49-12450)*0.24,"")</f>
        <v/>
      </c>
      <c r="C110" s="135"/>
      <c r="D110" s="135"/>
      <c r="E110" s="135"/>
      <c r="F110" s="135"/>
      <c r="G110" s="135"/>
      <c r="H110" s="135"/>
      <c r="I110" s="135"/>
      <c r="J110" s="135"/>
      <c r="K110" s="135"/>
    </row>
    <row r="111" spans="2:11" x14ac:dyDescent="0.45">
      <c r="B111" s="135" t="str">
        <f>IF(AND(L49&gt;=20200,L49&lt;35200),4225.5+(L49-20200)*0.3,"")</f>
        <v/>
      </c>
      <c r="C111" s="135"/>
      <c r="D111" s="135"/>
      <c r="E111" s="135"/>
      <c r="F111" s="135"/>
      <c r="G111" s="135"/>
      <c r="H111" s="135"/>
      <c r="I111" s="135"/>
      <c r="J111" s="135"/>
      <c r="K111" s="135"/>
    </row>
    <row r="112" spans="2:11" x14ac:dyDescent="0.45">
      <c r="B112" s="135">
        <f>IF(AND(L49&gt;=35200,L49&lt;60000),8725.5+(L49-35200)*0.37,"")</f>
        <v>9079.1054366533317</v>
      </c>
      <c r="C112" s="135"/>
      <c r="D112" s="135"/>
      <c r="E112" s="135"/>
      <c r="F112" s="135"/>
      <c r="G112" s="135"/>
      <c r="H112" s="135"/>
      <c r="I112" s="135"/>
      <c r="J112" s="135"/>
      <c r="K112" s="135"/>
    </row>
    <row r="113" spans="2:11" x14ac:dyDescent="0.45">
      <c r="B113" s="135" t="str">
        <f>IF(AND(L49&gt;=60000,L49&lt;300000),17901.5+(L49-60000)*0.45,"")</f>
        <v/>
      </c>
      <c r="C113" s="135"/>
      <c r="D113" s="135"/>
      <c r="E113" s="135"/>
      <c r="F113" s="135"/>
      <c r="G113" s="135"/>
      <c r="H113" s="135"/>
      <c r="I113" s="135"/>
      <c r="J113" s="135"/>
      <c r="K113" s="135"/>
    </row>
    <row r="114" spans="2:11" x14ac:dyDescent="0.45">
      <c r="B114" s="4" t="str">
        <f>IF(L49&gt;300000,125901.5+(L49-300000)*0.47,"")</f>
        <v/>
      </c>
      <c r="C114" s="132"/>
      <c r="D114" s="132"/>
      <c r="E114" s="132"/>
      <c r="F114" s="132"/>
      <c r="G114" s="132"/>
      <c r="H114" s="132"/>
      <c r="I114" s="132"/>
      <c r="J114" s="132"/>
      <c r="K114" s="132"/>
    </row>
    <row r="115" spans="2:11" x14ac:dyDescent="0.45">
      <c r="B115" s="4"/>
      <c r="C115" s="132"/>
      <c r="D115" s="132"/>
      <c r="E115" s="132"/>
      <c r="F115" s="132"/>
      <c r="G115" s="132"/>
      <c r="H115" s="132"/>
      <c r="I115" s="132"/>
      <c r="J115" s="132"/>
      <c r="K115" s="132"/>
    </row>
    <row r="116" spans="2:11" x14ac:dyDescent="0.45">
      <c r="B116" s="4"/>
      <c r="C116" s="4"/>
    </row>
    <row r="117" spans="2:11" x14ac:dyDescent="0.45">
      <c r="B117" s="4" t="s">
        <v>253</v>
      </c>
      <c r="C117" s="4"/>
    </row>
    <row r="118" spans="2:11" x14ac:dyDescent="0.45">
      <c r="B118" s="4" t="s">
        <v>255</v>
      </c>
      <c r="C118" s="4"/>
    </row>
    <row r="119" spans="2:11" x14ac:dyDescent="0.45">
      <c r="B119" s="4" t="s">
        <v>254</v>
      </c>
      <c r="C119" s="4"/>
    </row>
    <row r="120" spans="2:11" x14ac:dyDescent="0.45">
      <c r="B120" s="4">
        <f>IF(AND(L36&lt;=35200,C69=1,C36=1),(L36-(17270+C119+C120))*0.43,0)</f>
        <v>0</v>
      </c>
      <c r="C120" s="4"/>
    </row>
    <row r="121" spans="2:11" x14ac:dyDescent="0.45">
      <c r="B121" s="4">
        <f>IF(AND(L36&lt;=35200,C69=1,C36&gt;1),(L36-(18617+C119+C120))*0.43,0)</f>
        <v>0</v>
      </c>
      <c r="C121" s="4"/>
    </row>
    <row r="122" spans="2:11" x14ac:dyDescent="0.45">
      <c r="B122" s="4">
        <f>IF(AND(L36&lt;=35200,C69=2,C36=0),(L36-(16696+C119+C120))*0.43,0)</f>
        <v>0</v>
      </c>
      <c r="C122" s="4"/>
    </row>
    <row r="123" spans="2:11" x14ac:dyDescent="0.45">
      <c r="B123" s="4">
        <f>IF(AND(L36&lt;=35200,C69=2,C36=1),(L36-(17894+C119+C120))*0.43,0)</f>
        <v>0</v>
      </c>
      <c r="C123" s="4"/>
    </row>
    <row r="124" spans="2:11" x14ac:dyDescent="0.45">
      <c r="B124" s="4">
        <f>IF(AND(L36&lt;=35200,C69=2,C36&gt;1),(L36-(19241+C119+C120))*0.43,0)</f>
        <v>0</v>
      </c>
      <c r="C124" s="4"/>
    </row>
    <row r="125" spans="2:11" x14ac:dyDescent="0.45">
      <c r="B125" s="4">
        <f>IF(AND(L36&lt;=35200,C69=3,C36=0),(L36-(15000+C119+C120))*0.43,0)</f>
        <v>0</v>
      </c>
      <c r="C125" s="4"/>
    </row>
    <row r="126" spans="2:11" x14ac:dyDescent="0.45">
      <c r="B126" s="4">
        <f>IF(AND(L36&lt;=35200,C69=3,C36=1),(L36-(15599+C119+C120))*0.43,0)</f>
        <v>0</v>
      </c>
      <c r="C126" s="4"/>
    </row>
    <row r="127" spans="2:11" x14ac:dyDescent="0.45">
      <c r="B127" s="4">
        <f>IF(AND(L36&lt;=35200,C69=3,C36&gt;1),(L36-(16272+C119+C120))*0.43,0)</f>
        <v>0</v>
      </c>
      <c r="C127" s="4"/>
    </row>
    <row r="128" spans="2:11" x14ac:dyDescent="0.45">
      <c r="B128" s="4" t="s">
        <v>257</v>
      </c>
      <c r="C128" s="4" t="str">
        <f>IF(MAX(B120:B127)&gt;0,"Sí","No")</f>
        <v>No</v>
      </c>
    </row>
    <row r="129" spans="2:3" x14ac:dyDescent="0.45">
      <c r="B129" s="4" t="s">
        <v>258</v>
      </c>
      <c r="C129" s="4">
        <f>MAX(B120:B127)</f>
        <v>0</v>
      </c>
    </row>
    <row r="130" spans="2:3" x14ac:dyDescent="0.45">
      <c r="B130" s="4" t="s">
        <v>256</v>
      </c>
      <c r="C130" s="35">
        <f>IF(C128="No",C107,IF(C107&gt;C129,C129,C107))</f>
        <v>8024.6054366533317</v>
      </c>
    </row>
    <row r="131" spans="2:3" x14ac:dyDescent="0.45">
      <c r="B131" s="4"/>
      <c r="C131" s="4"/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  <row r="138" spans="2:3" x14ac:dyDescent="0.45">
      <c r="B138" s="4"/>
      <c r="C138" s="4"/>
    </row>
  </sheetData>
  <sheetProtection algorithmName="SHA-512" hashValue="WmAdNwcNuzLuaSUvyDv2jnNun2qCq/EdbdQvW/ElTDeETPAd9aW9yq6EyA51QG+dI96aEoKZ+v/jcjhSAThQ2w==" saltValue="udmi01jVZohud3RZ3JiEQg==" spinCount="100000" sheet="1" objects="1" scenarios="1"/>
  <mergeCells count="13">
    <mergeCell ref="J2:K2"/>
    <mergeCell ref="M4:M5"/>
    <mergeCell ref="B29:C29"/>
    <mergeCell ref="B70:C70"/>
    <mergeCell ref="B3:C3"/>
    <mergeCell ref="J3:K3"/>
    <mergeCell ref="J4:K5"/>
    <mergeCell ref="L4:L5"/>
    <mergeCell ref="B32:C32"/>
    <mergeCell ref="B42:B44"/>
    <mergeCell ref="C42:C44"/>
    <mergeCell ref="B45:B47"/>
    <mergeCell ref="C45:C47"/>
  </mergeCells>
  <dataValidations count="18">
    <dataValidation type="list" allowBlank="1" showInputMessage="1" showErrorMessage="1" sqref="B70" xr:uid="{55D99AAB-674A-4713-9EBE-0D4206BA2736}">
      <formula1>$A$69:$A$71</formula1>
    </dataValidation>
    <dataValidation type="list" allowBlank="1" showInputMessage="1" showErrorMessage="1" sqref="C39 C66 C56 C51 C61" xr:uid="{00000000-0002-0000-0A00-000001000000}">
      <formula1>$A$39:$A$43</formula1>
    </dataValidation>
    <dataValidation type="whole" allowBlank="1" showInputMessage="1" showErrorMessage="1" sqref="C45" xr:uid="{00000000-0002-0000-0A00-000002000000}">
      <formula1>0</formula1>
      <formula2>C41</formula2>
    </dataValidation>
    <dataValidation type="whole" allowBlank="1" showInputMessage="1" showErrorMessage="1" sqref="C53 C58 C63 C68" xr:uid="{00000000-0002-0000-0A00-000003000000}">
      <formula1>0</formula1>
      <formula2>20</formula2>
    </dataValidation>
    <dataValidation type="whole" allowBlank="1" showInputMessage="1" showErrorMessage="1" sqref="C50 C55 C60 C65" xr:uid="{00000000-0002-0000-0A00-000004000000}">
      <formula1>18</formula1>
      <formula2>130</formula2>
    </dataValidation>
    <dataValidation type="whole" allowBlank="1" showInputMessage="1" showErrorMessage="1" sqref="C37 C41:C42" xr:uid="{00000000-0002-0000-0A00-000005000000}">
      <formula1>0</formula1>
      <formula2>C36</formula2>
    </dataValidation>
    <dataValidation type="whole" allowBlank="1" showInputMessage="1" showErrorMessage="1" sqref="C36" xr:uid="{00000000-0002-0000-0A00-000006000000}">
      <formula1>0</formula1>
      <formula2>100</formula2>
    </dataValidation>
    <dataValidation type="list" allowBlank="1" showInputMessage="1" showErrorMessage="1" sqref="C30" xr:uid="{00000000-0002-0000-0A00-000007000000}">
      <formula1>$A$36:$A$38</formula1>
    </dataValidation>
    <dataValidation type="whole" allowBlank="1" showInputMessage="1" showErrorMessage="1" sqref="C31" xr:uid="{00000000-0002-0000-0A00-000008000000}">
      <formula1>1980</formula1>
      <formula2>2024</formula2>
    </dataValidation>
    <dataValidation type="whole" allowBlank="1" showInputMessage="1" showErrorMessage="1" sqref="C28" xr:uid="{00000000-0002-0000-0A00-000009000000}">
      <formula1>0</formula1>
      <formula2>10000</formula2>
    </dataValidation>
    <dataValidation type="whole" allowBlank="1" showInputMessage="1" showErrorMessage="1" sqref="C26" xr:uid="{00000000-0002-0000-0A00-00000A000000}">
      <formula1>0</formula1>
      <formula2>30</formula2>
    </dataValidation>
    <dataValidation type="list" allowBlank="1" showInputMessage="1" showErrorMessage="1" sqref="C27 C48 C67 C62 C57 C52 C40 C38 C33 C15:C25" xr:uid="{00000000-0002-0000-0A00-00000B000000}">
      <formula1>$H$13:$H$14</formula1>
    </dataValidation>
    <dataValidation type="list" allowBlank="1" showInputMessage="1" showErrorMessage="1" sqref="C14" xr:uid="{00000000-0002-0000-0A00-00000C000000}">
      <formula1>$F$13:$F$18</formula1>
    </dataValidation>
    <dataValidation type="list" allowBlank="1" showInputMessage="1" showErrorMessage="1" sqref="C13" xr:uid="{00000000-0002-0000-0A00-00000D000000}">
      <formula1>$D$13:$D$20</formula1>
    </dataValidation>
    <dataValidation type="decimal" allowBlank="1" showInputMessage="1" showErrorMessage="1" sqref="C4:C5" xr:uid="{00000000-0002-0000-0A00-00000E000000}">
      <formula1>0</formula1>
      <formula2>100</formula2>
    </dataValidation>
    <dataValidation type="whole" allowBlank="1" showInputMessage="1" showErrorMessage="1" sqref="C12" xr:uid="{00000000-0002-0000-0A00-00000F000000}">
      <formula1>0</formula1>
      <formula2>5</formula2>
    </dataValidation>
    <dataValidation type="whole" allowBlank="1" showInputMessage="1" showErrorMessage="1" sqref="C6:C10" xr:uid="{00000000-0002-0000-0A00-000010000000}">
      <formula1>0</formula1>
      <formula2>14</formula2>
    </dataValidation>
    <dataValidation type="list" allowBlank="1" showInputMessage="1" showErrorMessage="1" sqref="C11" xr:uid="{00000000-0002-0000-0A00-000011000000}">
      <formula1>$D$5:$D$6</formula1>
    </dataValidation>
  </dataValidations>
  <hyperlinks>
    <hyperlink ref="B2" location="Inicio!A1" display="Ir a inicio" xr:uid="{00000000-0004-0000-0A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138"/>
  <sheetViews>
    <sheetView showRowColHeaders="0" zoomScaleNormal="100" workbookViewId="0">
      <selection activeCell="C4" sqref="C4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L4-SUM(L28:L32)</f>
        <v>2092.2681910821029</v>
      </c>
      <c r="M3" s="73">
        <f>M4-SUM(M28:M32)</f>
        <v>2039.2031355073807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SUM(L6:L26)</f>
        <v>2836.0899999999997</v>
      </c>
      <c r="M4" s="157">
        <f>SUM(M6:M26)</f>
        <v>2511.4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ROUND((C4/100)*Datos!E6,2)</f>
        <v>1199.52</v>
      </c>
      <c r="M6" s="52">
        <f>ROUND((C4/100)*Datos!E7,2)</f>
        <v>874.83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ROUND(($C$4/100)*Datos!E9,2)</f>
        <v>729.14</v>
      </c>
      <c r="M7" s="53">
        <f>L7</f>
        <v>729.14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ROUND(($C$4/100)*Datos!E13,2)</f>
        <v>907.43</v>
      </c>
      <c r="M8" s="53">
        <f>L8</f>
        <v>907.43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29" t="s">
        <v>278</v>
      </c>
      <c r="C11" s="18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IF(C13=D14,ROUND(C4*MAX(E28:E33,G28:G33)/100,2),0)</f>
        <v>0</v>
      </c>
      <c r="M11" s="53">
        <f t="shared" ref="M11:M26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IF(C13=D16,ROUND(C4*MAX(F28:F32,H28:H32)/100,2),0)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65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IF(C13=D15,ROUND(C4*MAX(F28:F32,H28:H32)/100,2),0)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65" thickBot="1" x14ac:dyDescent="0.5">
      <c r="A14" s="4"/>
      <c r="B14" s="129" t="s">
        <v>124</v>
      </c>
      <c r="C14" s="18" t="s">
        <v>22</v>
      </c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IF(C13=D17,ROUND(Datos!E77*'Especialistas Sec. Singulares'!C4/100,2),0)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65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tr">
        <f>B16</f>
        <v>Jefatura de Residencia Tipo A</v>
      </c>
      <c r="K15" s="61"/>
      <c r="L15" s="53">
        <f>IF(C16="Sí",ROUND(Datos!E85*'Especialistas Sec. Singulares'!C4/100,2),0)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65" thickBot="1" x14ac:dyDescent="0.5">
      <c r="A16" s="4"/>
      <c r="B16" s="129" t="s">
        <v>45</v>
      </c>
      <c r="C16" s="18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tr">
        <f>B17</f>
        <v>Jefatura de Residencia Tipo B</v>
      </c>
      <c r="K16" s="61"/>
      <c r="L16" s="53">
        <f>IF(C17="Sí",ROUND(Datos!E86*'Especialistas Sec. Singulares'!C4/100,2),0)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65" thickBot="1" x14ac:dyDescent="0.5">
      <c r="A17" s="4"/>
      <c r="B17" s="129" t="s">
        <v>46</v>
      </c>
      <c r="C17" s="18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 t="str">
        <f>B18</f>
        <v>Jefatura de Residencia de CEE</v>
      </c>
      <c r="K17" s="61"/>
      <c r="L17" s="53">
        <f>IF(C18="Sí",ROUND(Datos!E87*'Especialistas Sec. Singulares'!C4/100,2),0)</f>
        <v>0</v>
      </c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65" thickBot="1" x14ac:dyDescent="0.5">
      <c r="A18" s="4"/>
      <c r="B18" s="129" t="s">
        <v>99</v>
      </c>
      <c r="C18" s="18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 t="str">
        <f>B19</f>
        <v>Coordinación Equipos de Atención Hospitalaria y Domiciliaria</v>
      </c>
      <c r="K18" s="61"/>
      <c r="L18" s="53">
        <f>IF(C19="Sí",ROUND(Datos!E89*'Especialistas Sec. Singulares'!C4/100,2),0)</f>
        <v>0</v>
      </c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65" thickBot="1" x14ac:dyDescent="0.5">
      <c r="A19" s="4"/>
      <c r="B19" s="129" t="s">
        <v>97</v>
      </c>
      <c r="C19" s="18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 t="str">
        <f>B20</f>
        <v>Coordinación Programa Recuperación Pueblos Abandonados</v>
      </c>
      <c r="K19" s="61"/>
      <c r="L19" s="53">
        <f>IF(C20="Sí",ROUND(Datos!E90*'Especialistas Sec. Singulares'!C4/100,2),0)</f>
        <v>0</v>
      </c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65" thickBot="1" x14ac:dyDescent="0.5">
      <c r="A20" s="4"/>
      <c r="B20" s="129" t="s">
        <v>98</v>
      </c>
      <c r="C20" s="18" t="s">
        <v>138</v>
      </c>
      <c r="D20" s="4" t="s">
        <v>277</v>
      </c>
      <c r="E20" s="4"/>
      <c r="F20" s="4"/>
      <c r="G20" s="4"/>
      <c r="H20" s="4"/>
      <c r="I20" s="4"/>
      <c r="J20" s="36" t="s">
        <v>48</v>
      </c>
      <c r="K20" s="61"/>
      <c r="L20" s="53">
        <f>IF(C15="Sí",ROUND(Datos!E91*'Especialistas Sec. Singulares'!C4/100,2),0)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65" thickBot="1" x14ac:dyDescent="0.5">
      <c r="A21" s="4"/>
      <c r="B21" s="129" t="s">
        <v>49</v>
      </c>
      <c r="C21" s="18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IF(C22="Sí",ROUND(Datos!E97*'Especialistas Sec. Singulares'!C4/100,2),0)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65" thickBot="1" x14ac:dyDescent="0.5">
      <c r="A22" s="4"/>
      <c r="B22" s="129" t="s">
        <v>269</v>
      </c>
      <c r="C22" s="18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IF(C24="Sí",ROUND(C4*SUM(D24:D26)/100,2),0)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65" thickBot="1" x14ac:dyDescent="0.5">
      <c r="A23" s="4"/>
      <c r="B23" s="129" t="s">
        <v>334</v>
      </c>
      <c r="C23" s="18" t="s">
        <v>138</v>
      </c>
      <c r="D23" s="4"/>
      <c r="E23" s="4"/>
      <c r="F23" s="4"/>
      <c r="G23" s="4"/>
      <c r="H23" s="4"/>
      <c r="I23" s="4"/>
      <c r="J23" s="36" t="s">
        <v>335</v>
      </c>
      <c r="K23" s="61"/>
      <c r="L23" s="53">
        <f>IF(C23="Sí",ROUND(Datos!E96*C4/100,2),0)</f>
        <v>0</v>
      </c>
      <c r="M23" s="53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65" thickBot="1" x14ac:dyDescent="0.5">
      <c r="A24" s="4"/>
      <c r="B24" s="129" t="s">
        <v>144</v>
      </c>
      <c r="C24" s="18" t="s">
        <v>138</v>
      </c>
      <c r="D24" s="4">
        <f>IF(C24="No",0,Datos!E102)</f>
        <v>0</v>
      </c>
      <c r="E24" s="4"/>
      <c r="F24" s="4"/>
      <c r="G24" s="4"/>
      <c r="H24" s="4"/>
      <c r="I24" s="4"/>
      <c r="J24" s="36" t="s">
        <v>153</v>
      </c>
      <c r="K24" s="61"/>
      <c r="L24" s="53">
        <f>IF(C27="Sí",ROUND(C4*MIN(D28:D37)/100,2),0)</f>
        <v>0</v>
      </c>
      <c r="M24" s="53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65" thickBot="1" x14ac:dyDescent="0.5">
      <c r="A25" s="4"/>
      <c r="B25" s="13" t="s">
        <v>142</v>
      </c>
      <c r="C25" s="18" t="s">
        <v>138</v>
      </c>
      <c r="D25" s="4">
        <f>IF(AND(C24="Sí",C25="Sí"),Datos!E103,0)</f>
        <v>0</v>
      </c>
      <c r="E25" s="4"/>
      <c r="F25" s="4"/>
      <c r="G25" s="4"/>
      <c r="H25" s="4"/>
      <c r="I25" s="4"/>
      <c r="J25" s="36" t="s">
        <v>273</v>
      </c>
      <c r="K25" s="62"/>
      <c r="L25" s="53">
        <f>IF(D21&gt;0,ROUND(C4*MAX(E28:E34,G28:G34)*D21/100,2),0)</f>
        <v>0</v>
      </c>
      <c r="M25" s="53">
        <f>L25</f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65" thickBot="1" x14ac:dyDescent="0.5">
      <c r="A26" s="4"/>
      <c r="B26" s="12" t="s">
        <v>143</v>
      </c>
      <c r="C26" s="19">
        <v>0</v>
      </c>
      <c r="D26" s="4">
        <f>IF(C24="Sí",C26*Datos!E104,0)</f>
        <v>0</v>
      </c>
      <c r="E26" s="4"/>
      <c r="F26" s="4"/>
      <c r="G26" s="4"/>
      <c r="H26" s="4"/>
      <c r="I26" s="4"/>
      <c r="J26" s="54" t="s">
        <v>283</v>
      </c>
      <c r="K26" s="63"/>
      <c r="L26" s="55">
        <f>IF(C21="Sí",ROUND(Datos!E92*C4/100,2),0)</f>
        <v>0</v>
      </c>
      <c r="M26" s="55">
        <f t="shared" si="1"/>
        <v>0</v>
      </c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4.65" thickBot="1" x14ac:dyDescent="0.5">
      <c r="A27" s="4"/>
      <c r="B27" s="129" t="s">
        <v>145</v>
      </c>
      <c r="C27" s="18" t="s">
        <v>138</v>
      </c>
      <c r="D27" s="4"/>
      <c r="E27" s="4" t="s">
        <v>125</v>
      </c>
      <c r="F27" s="4" t="s">
        <v>154</v>
      </c>
      <c r="G27" s="4" t="s">
        <v>280</v>
      </c>
      <c r="H27" s="4" t="s">
        <v>281</v>
      </c>
      <c r="I27" s="4"/>
      <c r="J27" s="57" t="s">
        <v>162</v>
      </c>
      <c r="K27" s="58"/>
      <c r="L27" s="59"/>
      <c r="M27" s="58"/>
      <c r="Q27" s="22"/>
      <c r="R27" s="2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3" t="s">
        <v>146</v>
      </c>
      <c r="C28" s="18">
        <v>0</v>
      </c>
      <c r="D28" s="4">
        <f>IF($C$28&lt;=50,Datos!E107,"")</f>
        <v>17.649999999999999</v>
      </c>
      <c r="E28" s="4" t="str">
        <f>IF(AND(C11=D5,$D12=$D$14,$C$14=F13),Datos!E64,"")</f>
        <v/>
      </c>
      <c r="F28" s="4" t="str">
        <f>IF(AND(OR($C$13=$D$15,$C$13=$D$16),$C$14=F13,C11=D5),Datos!E68,"")</f>
        <v/>
      </c>
      <c r="G28" s="4" t="str">
        <f>IF(AND(C11=D6,$D12=$D$14,$C$14=F13),Datos!E32,"")</f>
        <v/>
      </c>
      <c r="H28" s="4" t="str">
        <f>IF(AND(OR($C$13=$D$15,$C$13=$D$16),$C$14=F13,C11=D6),Datos!E38,"")</f>
        <v/>
      </c>
      <c r="I28" s="4"/>
      <c r="J28" s="7" t="s">
        <v>231</v>
      </c>
      <c r="K28" s="40"/>
      <c r="L28" s="20">
        <f>IF(OR(C30=A37,C30=A36),40.68*C4/100,0)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71" t="s">
        <v>233</v>
      </c>
      <c r="C29" s="172"/>
      <c r="D29" s="4">
        <f>IF($C$28&lt;=100,Datos!E108,"")</f>
        <v>35.32</v>
      </c>
      <c r="E29" s="4" t="str">
        <f>IF(AND(C11=D5,$D$12=$D$14,$C$14=F14),Datos!E65,"")</f>
        <v/>
      </c>
      <c r="F29" s="4" t="str">
        <f>IF(AND(OR($C$13=$D$15,$C$13=$D$16),$C$14=F14,C11=D5),Datos!E69,"")</f>
        <v/>
      </c>
      <c r="G29" s="4" t="str">
        <f>IF(AND(C11=D6,$D12=$D$14,$C$14=F14),Datos!E33,"")</f>
        <v/>
      </c>
      <c r="H29" s="4" t="str">
        <f>IF(AND(OR($C$13=$D$15,$C$13=$D$16),$C$14=F14,C11=D6),Datos!E39,"")</f>
        <v/>
      </c>
      <c r="I29" s="4"/>
      <c r="J29" s="7" t="s">
        <v>232</v>
      </c>
      <c r="K29" s="40"/>
      <c r="L29" s="20">
        <f>IF(AND(OR(C30=A37,C30=A36),C31&lt;2011),92.9*C4/100,0)</f>
        <v>0</v>
      </c>
      <c r="M29" s="49">
        <f>L29</f>
        <v>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4.65" thickBot="1" x14ac:dyDescent="0.5">
      <c r="A30" s="4"/>
      <c r="B30" s="129" t="s">
        <v>158</v>
      </c>
      <c r="C30" s="18" t="s">
        <v>161</v>
      </c>
      <c r="D30" s="4">
        <f>IF($C$28&lt;=150,Datos!E109,"")</f>
        <v>52.97</v>
      </c>
      <c r="E30" s="4" t="str">
        <f>IF(AND(C11=D5,$D$12=$D$14,$C$14=F15),Datos!E66,"")</f>
        <v/>
      </c>
      <c r="F30" s="4" t="str">
        <f>IF(AND(OR($C$13=$D$15,$C$13=$D$16),$C$14=F15,C11=D5),Datos!E70,"")</f>
        <v/>
      </c>
      <c r="G30" s="4" t="str">
        <f>IF(AND(C11=D6,$D12=$D$14,$C$14=F15),Datos!E34,"")</f>
        <v/>
      </c>
      <c r="H30" s="4" t="str">
        <f>IF(AND(OR($C$13=$D$15,$C$13=$D$16),$C$14=F15,C11=D6),Datos!E40,"")</f>
        <v/>
      </c>
      <c r="I30" s="4"/>
      <c r="J30" s="7" t="s">
        <v>163</v>
      </c>
      <c r="K30" s="40"/>
      <c r="L30" s="20">
        <f>IF(OR(C30=A37,AND(C30=A36,C31&gt;=2011)),(L4+(M4/6))*L69,0)</f>
        <v>0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29" t="str">
        <f>IF(C30=A36,"¿En qué año aprobaste la oposición?","")</f>
        <v/>
      </c>
      <c r="C31" s="18"/>
      <c r="D31" s="4">
        <f>IF($C$28&lt;=200,Datos!E110,"")</f>
        <v>70.64</v>
      </c>
      <c r="E31" s="4" t="str">
        <f>IF(AND(C11=D5,$D$12=$D$14,$C$14=F16),Datos!E67,"")</f>
        <v/>
      </c>
      <c r="F31" s="4" t="str">
        <f>IF(AND(OR($C$13=$D$15,$C$13=$D$16),$C$14=F16,C11=D5),Datos!E71,"")</f>
        <v/>
      </c>
      <c r="G31" s="4" t="str">
        <f>IF(AND(C11=D6,$D12=$D$14,$C$14=F13),Datos!E35,"")</f>
        <v/>
      </c>
      <c r="H31" s="4" t="str">
        <f>IF(AND(OR($C$13=$D$15,$C$13=$D$16),$C$14=F16,C11=D6),Datos!E41,"")</f>
        <v/>
      </c>
      <c r="I31" s="4"/>
      <c r="J31" s="7" t="s">
        <v>164</v>
      </c>
      <c r="K31" s="40"/>
      <c r="L31" s="46">
        <f>IF(C30=A38,L4*0.0647+M4*0.0647/6,0)</f>
        <v>210.57628633333331</v>
      </c>
      <c r="M31" s="9">
        <v>0</v>
      </c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71" t="s">
        <v>169</v>
      </c>
      <c r="C32" s="172"/>
      <c r="D32" s="4">
        <f>IF($C$28&lt;=250,Datos!E111,"")</f>
        <v>88.29</v>
      </c>
      <c r="E32" s="4" t="str">
        <f>IF(AND($C$13=$D$14,$C$15&lt;&gt;"",$C$15&lt;&gt;$G$13,$C$14=F17),Datos!E36,"")</f>
        <v/>
      </c>
      <c r="F32" s="4"/>
      <c r="G32" s="4" t="str">
        <f>IF(AND(C11=D6,$D12=$D$14,$C$14=F16),Datos!E36,"")</f>
        <v/>
      </c>
      <c r="H32" s="4" t="str">
        <f>IF(AND(OR($C$13=$D$15,$C$13=$D$16),$C$14=F17,C11=D6),Datos!E42,"")</f>
        <v/>
      </c>
      <c r="I32" s="4"/>
      <c r="J32" s="14" t="s">
        <v>165</v>
      </c>
      <c r="K32" s="48">
        <f>L62</f>
        <v>0.18802136835733826</v>
      </c>
      <c r="L32" s="47">
        <f>L4*K32</f>
        <v>533.24552258456345</v>
      </c>
      <c r="M32" s="50">
        <f>M4*K32</f>
        <v>472.19686449261934</v>
      </c>
      <c r="O32" s="4"/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171</v>
      </c>
      <c r="C33" s="18" t="s">
        <v>138</v>
      </c>
      <c r="D33" s="4">
        <f>IF($C$28&lt;=300,Datos!E112,"")</f>
        <v>105.96</v>
      </c>
      <c r="E33" s="4" t="str">
        <f>IF(AND($C$13=$D$14,$C$15&lt;&gt;"",$C$15&lt;&gt;$G$13,$C$14=F18),Datos!E37,"")</f>
        <v/>
      </c>
      <c r="F33" s="4"/>
      <c r="G33" s="4" t="str">
        <f>IF(AND(C11=D6,$D12=$D$14,$C$14=F17),Datos!E37,"")</f>
        <v/>
      </c>
      <c r="H33" s="4"/>
      <c r="I33" s="4"/>
      <c r="O33" s="4" t="s">
        <v>176</v>
      </c>
      <c r="P33" s="4"/>
      <c r="Q33" s="4"/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191</v>
      </c>
      <c r="C34" s="116">
        <v>0</v>
      </c>
      <c r="D34" s="4">
        <f>IF($C$28&lt;=350,Datos!E113,"")</f>
        <v>123.62</v>
      </c>
      <c r="E34" s="4"/>
      <c r="F34" s="4" t="str">
        <f>IF(AND(OR($C$13=$D$15,$C$13=$D$16),$C$15&lt;&gt;"",$C$15&lt;&gt;$G$13,$C$14=F19),Datos!E44,"")</f>
        <v/>
      </c>
      <c r="G34" s="4" t="str">
        <f>IF(AND(C11=D6,$D12=$D$14,$C$14=F18),Datos!E38,"")</f>
        <v/>
      </c>
      <c r="H34" s="4"/>
      <c r="I34" s="4"/>
      <c r="O34" s="4" t="s">
        <v>177</v>
      </c>
      <c r="P34" s="4">
        <v>2400</v>
      </c>
      <c r="Q34" s="4">
        <v>2400</v>
      </c>
      <c r="R34" s="4"/>
      <c r="S34" s="4"/>
      <c r="T34" s="4"/>
      <c r="U34" s="4"/>
      <c r="V34" s="4"/>
      <c r="W34" s="4"/>
    </row>
    <row r="35" spans="1:23" ht="14.65" thickBot="1" x14ac:dyDescent="0.5">
      <c r="A35" s="4"/>
      <c r="B35" s="129" t="s">
        <v>190</v>
      </c>
      <c r="C35" s="116">
        <v>0</v>
      </c>
      <c r="D35" s="4">
        <f>IF($C$28&lt;=450,Datos!E114,"")</f>
        <v>141.27000000000001</v>
      </c>
      <c r="E35" s="4"/>
      <c r="F35" s="4"/>
      <c r="G35" s="4"/>
      <c r="H35" s="4"/>
      <c r="I35" s="4"/>
      <c r="J35" s="74" t="s">
        <v>167</v>
      </c>
      <c r="K35" s="75"/>
      <c r="L35" s="76"/>
      <c r="O35" s="4" t="s">
        <v>178</v>
      </c>
      <c r="P35" s="4">
        <v>2700</v>
      </c>
      <c r="Q35" s="4">
        <f>Q34+P35</f>
        <v>5100</v>
      </c>
      <c r="R35" s="4"/>
      <c r="S35" s="4"/>
      <c r="T35" s="4"/>
      <c r="U35" s="4"/>
      <c r="V35" s="4"/>
      <c r="W35" s="4"/>
    </row>
    <row r="36" spans="1:23" ht="14.65" thickBot="1" x14ac:dyDescent="0.5">
      <c r="A36" s="4" t="s">
        <v>159</v>
      </c>
      <c r="B36" s="41" t="s">
        <v>174</v>
      </c>
      <c r="C36" s="18">
        <v>0</v>
      </c>
      <c r="D36" s="4">
        <f>IF($C$28&lt;=450,Datos!E115,"")</f>
        <v>158.94</v>
      </c>
      <c r="E36" s="4"/>
      <c r="F36" s="4"/>
      <c r="G36" s="4"/>
      <c r="H36" s="4"/>
      <c r="I36" s="4"/>
      <c r="J36" s="36" t="s">
        <v>168</v>
      </c>
      <c r="K36" s="37"/>
      <c r="L36" s="70">
        <f>L4*12+M4*2</f>
        <v>39055.879999999997</v>
      </c>
      <c r="O36" s="4" t="s">
        <v>179</v>
      </c>
      <c r="P36" s="4">
        <v>4000</v>
      </c>
      <c r="Q36" s="4">
        <f>Q35+P36</f>
        <v>9100</v>
      </c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160</v>
      </c>
      <c r="B37" s="129" t="s">
        <v>173</v>
      </c>
      <c r="C37" s="18">
        <v>0</v>
      </c>
      <c r="D37" s="4">
        <f>IF($C$28&lt;=1000050,Datos!E116,"")</f>
        <v>176.59</v>
      </c>
      <c r="E37" s="4"/>
      <c r="F37" s="4"/>
      <c r="G37" s="4"/>
      <c r="H37" s="4"/>
      <c r="I37" s="4"/>
      <c r="J37" s="7" t="s">
        <v>259</v>
      </c>
      <c r="K37" s="8"/>
      <c r="L37" s="9">
        <f>IF(AND(C48="Sí",L36&lt;33007.2),TRUNC(L36*0.02),0)</f>
        <v>0</v>
      </c>
      <c r="M37" s="22"/>
      <c r="N37" s="22"/>
      <c r="O37" s="4" t="s">
        <v>180</v>
      </c>
      <c r="P37" s="4">
        <v>4500</v>
      </c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161</v>
      </c>
      <c r="B38" s="131" t="s">
        <v>196</v>
      </c>
      <c r="C38" s="18" t="s">
        <v>138</v>
      </c>
      <c r="D38" s="4" t="str">
        <f>IF(B70=A69,"Sí","No")</f>
        <v>Sí</v>
      </c>
      <c r="E38" s="4"/>
      <c r="F38" s="4"/>
      <c r="G38" s="4"/>
      <c r="H38" s="4"/>
      <c r="I38" s="4"/>
      <c r="J38" s="7" t="s">
        <v>265</v>
      </c>
      <c r="K38" s="8"/>
      <c r="L38" s="9">
        <f>IF(L36-L39&lt;14582,7302,IF(L36-L39&lt;17673.52,7302-(1.75*(L36-L39-14852)),IF(L36-L39&lt;19747.5,2364.34-(1.14*(L36-L39-17673.52)),0)))</f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182</v>
      </c>
      <c r="B39" s="129" t="s">
        <v>181</v>
      </c>
      <c r="C39" s="18" t="s">
        <v>182</v>
      </c>
      <c r="D39" s="4"/>
      <c r="E39" s="4"/>
      <c r="F39" s="4"/>
      <c r="G39" s="4"/>
      <c r="H39" s="4"/>
      <c r="I39" s="4"/>
      <c r="J39" s="36" t="s">
        <v>236</v>
      </c>
      <c r="K39" s="37"/>
      <c r="L39" s="70">
        <f>SUM(L28:L31)*14+SUM(M28:M31)*2</f>
        <v>2948.0680086666662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184</v>
      </c>
      <c r="B40" s="131" t="s">
        <v>189</v>
      </c>
      <c r="C40" s="18" t="s">
        <v>138</v>
      </c>
      <c r="D40" s="4"/>
      <c r="E40" s="4"/>
      <c r="F40" s="4"/>
      <c r="G40" s="4"/>
      <c r="H40" s="4"/>
      <c r="I40" s="4"/>
      <c r="J40" s="36" t="s">
        <v>241</v>
      </c>
      <c r="K40" s="37"/>
      <c r="L40" s="70">
        <f>C34+2000+M41</f>
        <v>2000</v>
      </c>
      <c r="M40" s="4"/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thickBot="1" x14ac:dyDescent="0.5">
      <c r="A41" s="4" t="s">
        <v>183</v>
      </c>
      <c r="B41" s="129" t="s">
        <v>192</v>
      </c>
      <c r="C41" s="18">
        <v>0</v>
      </c>
      <c r="D41" s="4"/>
      <c r="E41" s="4"/>
      <c r="F41" s="4"/>
      <c r="G41" s="4"/>
      <c r="H41" s="4"/>
      <c r="I41" s="4"/>
      <c r="J41" s="36" t="s">
        <v>170</v>
      </c>
      <c r="K41" s="37"/>
      <c r="L41" s="70">
        <f>IF(C33="Sí",1150+5550,5550)</f>
        <v>5550</v>
      </c>
      <c r="M41" s="4">
        <f>IF(AND(C39=A42,C40="No"),3500,IF(OR(C39=A41,C39=A42),7750,0))</f>
        <v>0</v>
      </c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 t="s">
        <v>185</v>
      </c>
      <c r="B42" s="173" t="s">
        <v>207</v>
      </c>
      <c r="C42" s="175">
        <v>0</v>
      </c>
      <c r="D42" s="4"/>
      <c r="E42" s="4"/>
      <c r="F42" s="4"/>
      <c r="G42" s="4"/>
      <c r="H42" s="4"/>
      <c r="I42" s="4"/>
      <c r="J42" s="36" t="s">
        <v>172</v>
      </c>
      <c r="K42" s="37"/>
      <c r="L42" s="70">
        <f>SUM(C71:C74)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x14ac:dyDescent="0.45">
      <c r="A43" s="4"/>
      <c r="B43" s="173"/>
      <c r="C43" s="176"/>
      <c r="D43" s="4"/>
      <c r="E43" s="4"/>
      <c r="F43" s="4"/>
      <c r="G43" s="4"/>
      <c r="H43" s="4"/>
      <c r="I43" s="4"/>
      <c r="J43" s="36" t="s">
        <v>175</v>
      </c>
      <c r="K43" s="37"/>
      <c r="L43" s="70">
        <f>IF(C38="no",M49/2+1400*C37,M49+2800*C37)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thickBot="1" x14ac:dyDescent="0.5">
      <c r="A44" s="4"/>
      <c r="B44" s="174"/>
      <c r="C44" s="177"/>
      <c r="D44" s="4"/>
      <c r="E44" s="4"/>
      <c r="F44" s="4"/>
      <c r="G44" s="4"/>
      <c r="H44" s="4"/>
      <c r="I44" s="4"/>
      <c r="J44" s="36" t="s">
        <v>186</v>
      </c>
      <c r="K44" s="37"/>
      <c r="L44" s="70">
        <f>IF(C39=A41,9000,IF(C39=A42,3000,0))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8" t="s">
        <v>207</v>
      </c>
      <c r="C45" s="175">
        <v>0</v>
      </c>
      <c r="D45" s="4"/>
      <c r="E45" s="4"/>
      <c r="F45" s="4"/>
      <c r="G45" s="4"/>
      <c r="H45" s="4"/>
      <c r="I45" s="4"/>
      <c r="J45" s="36" t="s">
        <v>187</v>
      </c>
      <c r="K45" s="37"/>
      <c r="L45" s="70">
        <f>SUM(C75:C78)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x14ac:dyDescent="0.45">
      <c r="A46" s="4"/>
      <c r="B46" s="173"/>
      <c r="C46" s="176"/>
      <c r="D46" s="4"/>
      <c r="E46" s="4"/>
      <c r="F46" s="4"/>
      <c r="G46" s="4"/>
      <c r="H46" s="4"/>
      <c r="I46" s="4"/>
      <c r="J46" s="36" t="s">
        <v>188</v>
      </c>
      <c r="K46" s="37"/>
      <c r="L46" s="70">
        <f>IF(C38="Sí",M51,M51/2)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4"/>
      <c r="B47" s="174"/>
      <c r="C47" s="177"/>
      <c r="D47" s="4"/>
      <c r="E47" s="4"/>
      <c r="F47" s="4"/>
      <c r="G47" s="4"/>
      <c r="H47" s="4"/>
      <c r="I47" s="4"/>
      <c r="J47" s="36" t="s">
        <v>206</v>
      </c>
      <c r="K47" s="37"/>
      <c r="L47" s="70">
        <f>IF(OR(C40="Sí",C39=A41),3000,0)</f>
        <v>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267</v>
      </c>
      <c r="C48" s="18" t="s">
        <v>138</v>
      </c>
      <c r="D48" s="4"/>
      <c r="E48" s="4"/>
      <c r="F48" s="4"/>
      <c r="G48" s="4"/>
      <c r="H48" s="4"/>
      <c r="I48" s="4"/>
      <c r="J48" s="7" t="s">
        <v>208</v>
      </c>
      <c r="K48" s="8"/>
      <c r="L48" s="9">
        <f>SUM(L41:L47)</f>
        <v>5550</v>
      </c>
      <c r="M48" s="4"/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129" t="s">
        <v>260</v>
      </c>
      <c r="C49" s="117"/>
      <c r="D49" s="4"/>
      <c r="E49" s="4"/>
      <c r="F49" s="4"/>
      <c r="G49" s="4"/>
      <c r="H49" s="4"/>
      <c r="I49" s="4"/>
      <c r="J49" s="7" t="s">
        <v>209</v>
      </c>
      <c r="K49" s="8"/>
      <c r="L49" s="9">
        <f>MAX(0,L36-L39-L40-L38)</f>
        <v>34107.811991333328</v>
      </c>
      <c r="M49" s="4">
        <f>IF(C36=1,Q34,IF(C36=2,Q35,IF(C36=3,Q36,IF(C36&lt;1,0,Q36+4500*(C36-3)))))</f>
        <v>0</v>
      </c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193</v>
      </c>
      <c r="C50" s="109"/>
      <c r="D50" s="4"/>
      <c r="E50" s="4"/>
      <c r="F50" s="4"/>
      <c r="G50" s="4"/>
      <c r="H50" s="4"/>
      <c r="I50" s="4"/>
      <c r="J50" s="7" t="s">
        <v>210</v>
      </c>
      <c r="K50" s="8"/>
      <c r="L50" s="9">
        <f>IF(L48&gt;12450,0,MAX(0,MIN(12450,L49)-L48))</f>
        <v>6900</v>
      </c>
      <c r="M50" s="4"/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194</v>
      </c>
      <c r="C51" s="109" t="s">
        <v>182</v>
      </c>
      <c r="D51" s="4"/>
      <c r="E51" s="4"/>
      <c r="F51" s="4"/>
      <c r="G51" s="4"/>
      <c r="H51" s="4"/>
      <c r="I51" s="4"/>
      <c r="J51" s="7" t="s">
        <v>211</v>
      </c>
      <c r="K51" s="8"/>
      <c r="L51" s="9">
        <f>IF(IF(L48&gt;20200,0,IF(L49&gt;20200,MIN(20200-L48,20200-12450),MIN(L49-L48,L49-12450)))&lt;0,0,IF(L48&gt;20200,0,IF(L49&gt;20200,MIN(20200-L48,20200-12450),MIN(L49-L48,L49-12450))))</f>
        <v>7750</v>
      </c>
      <c r="M51" s="4">
        <f>C41*12000+C42*6000+C45*3000</f>
        <v>0</v>
      </c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22"/>
      <c r="B52" s="25" t="s">
        <v>201</v>
      </c>
      <c r="C52" s="18" t="s">
        <v>138</v>
      </c>
      <c r="D52" s="4"/>
      <c r="E52" s="4"/>
      <c r="F52" s="4"/>
      <c r="G52" s="4"/>
      <c r="H52" s="4"/>
      <c r="I52" s="4"/>
      <c r="J52" s="7" t="s">
        <v>212</v>
      </c>
      <c r="K52" s="8"/>
      <c r="L52" s="9">
        <f>IF(IF(L48&gt;35200,0,IF(L49&gt;35200,MIN(35200-L48,35200-20200),MIN(L49-L48,L49-20200)))&lt;0,0,IF(L48&gt;35200,0,IF(L49&gt;35200,MIN(35200-L48,35200-20200),MIN(L49-L48,L49-20200))))</f>
        <v>13907.811991333328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26" t="s">
        <v>195</v>
      </c>
      <c r="C53" s="109"/>
      <c r="D53" s="4"/>
      <c r="E53" s="4"/>
      <c r="F53" s="4"/>
      <c r="G53" s="4"/>
      <c r="H53" s="4"/>
      <c r="I53" s="4"/>
      <c r="J53" s="7" t="s">
        <v>213</v>
      </c>
      <c r="K53" s="8"/>
      <c r="L53" s="9">
        <f>IF(IF(L48&gt;60000,0,IF(L49&gt;60000,MIN(35200-L48,60000-35200),MIN(L49-L48,L49-35200)))&lt;0,0,IF(L48&gt;60000,0,IF(L49&gt;60000,MIN(35200-L48,60000-35200),MIN(L49-L48,L49-35200))))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129" t="s">
        <v>261</v>
      </c>
      <c r="C54" s="117"/>
      <c r="H54" s="4"/>
      <c r="I54" s="4"/>
      <c r="J54" s="7" t="s">
        <v>214</v>
      </c>
      <c r="K54" s="8"/>
      <c r="L54" s="9">
        <f>IF(IF(L48&gt;30000,0,IF(L49&gt;300000,MIN(60000-L48,300000-60000),MIN(L49-L48,L49-60000)))&lt;0,0,IF(L48&gt;30000,0,IF(L49&gt;300000,MIN(60000-L48,300000-60000),MIN(L49-L48,L49-60000))))</f>
        <v>0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193</v>
      </c>
      <c r="C55" s="109"/>
      <c r="H55" s="4"/>
      <c r="I55" s="4"/>
      <c r="J55" s="7" t="s">
        <v>215</v>
      </c>
      <c r="K55" s="8"/>
      <c r="L55" s="9">
        <f>ROUND(L50*0.19,2)</f>
        <v>1311</v>
      </c>
      <c r="M55" s="4"/>
      <c r="N55" s="4"/>
      <c r="O55" s="22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194</v>
      </c>
      <c r="C56" s="109" t="s">
        <v>182</v>
      </c>
      <c r="G56" s="4"/>
      <c r="H56" s="4"/>
      <c r="I56" s="4"/>
      <c r="J56" s="7" t="s">
        <v>216</v>
      </c>
      <c r="K56" s="8"/>
      <c r="L56" s="9">
        <f>ROUND(L51*0.24,2)</f>
        <v>1860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5" t="s">
        <v>201</v>
      </c>
      <c r="C57" s="18" t="s">
        <v>137</v>
      </c>
      <c r="G57" s="4"/>
      <c r="H57" s="4"/>
      <c r="I57" s="4"/>
      <c r="J57" s="7" t="s">
        <v>217</v>
      </c>
      <c r="K57" s="8"/>
      <c r="L57" s="9">
        <f>ROUND(L52*0.3,2)</f>
        <v>4172.34</v>
      </c>
      <c r="M57" s="4"/>
      <c r="N57" s="4"/>
      <c r="P57" s="4"/>
      <c r="Q57" s="4"/>
      <c r="R57" s="4"/>
      <c r="S57" s="4"/>
      <c r="T57" s="4"/>
      <c r="U57" s="4"/>
      <c r="V57" s="4"/>
      <c r="W57" s="4"/>
    </row>
    <row r="58" spans="1:23" ht="14.75" customHeight="1" thickBot="1" x14ac:dyDescent="0.5">
      <c r="A58" s="4"/>
      <c r="B58" s="26" t="s">
        <v>195</v>
      </c>
      <c r="C58" s="109"/>
      <c r="G58" s="4"/>
      <c r="H58" s="4"/>
      <c r="I58" s="4"/>
      <c r="J58" s="7" t="s">
        <v>218</v>
      </c>
      <c r="K58" s="8"/>
      <c r="L58" s="9">
        <f>ROUND(L53*0.37,2)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129" t="s">
        <v>262</v>
      </c>
      <c r="C59" s="118"/>
      <c r="G59" s="4"/>
      <c r="H59" s="4"/>
      <c r="I59" s="4"/>
      <c r="J59" s="7" t="s">
        <v>219</v>
      </c>
      <c r="K59" s="8"/>
      <c r="L59" s="9">
        <f>ROUND(L54*0.45,2)</f>
        <v>0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193</v>
      </c>
      <c r="C60" s="109"/>
      <c r="G60" s="4"/>
      <c r="H60" s="4"/>
      <c r="I60" s="4"/>
      <c r="J60" s="7" t="s">
        <v>266</v>
      </c>
      <c r="K60" s="8"/>
      <c r="L60" s="49">
        <f>SUM(L55:L59)</f>
        <v>7343.34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5" t="s">
        <v>194</v>
      </c>
      <c r="C61" s="109" t="s">
        <v>182</v>
      </c>
      <c r="G61" s="4"/>
      <c r="H61" s="4"/>
      <c r="I61" s="4"/>
      <c r="J61" s="7" t="s">
        <v>264</v>
      </c>
      <c r="K61" s="8"/>
      <c r="L61" s="49">
        <f>MAX(0,C130-L37)</f>
        <v>7343.3435973999985</v>
      </c>
      <c r="P61" s="4"/>
      <c r="Q61" s="4"/>
      <c r="R61" s="4"/>
      <c r="S61" s="4"/>
      <c r="T61" s="4"/>
      <c r="U61" s="4"/>
      <c r="V61" s="4"/>
      <c r="W61" s="4"/>
    </row>
    <row r="62" spans="1:23" ht="14.65" thickBot="1" x14ac:dyDescent="0.5">
      <c r="A62" s="4"/>
      <c r="B62" s="27" t="s">
        <v>201</v>
      </c>
      <c r="C62" s="18" t="s">
        <v>138</v>
      </c>
      <c r="G62" s="4"/>
      <c r="H62" s="4"/>
      <c r="I62" s="4"/>
      <c r="J62" s="80" t="s">
        <v>220</v>
      </c>
      <c r="K62" s="81"/>
      <c r="L62" s="82">
        <f>IF(M62&lt;0.02,0.02,M62)</f>
        <v>0.18802136835733826</v>
      </c>
      <c r="M62" s="4">
        <f>IF(L61&lt;L60,L61/L36,L60/L36)</f>
        <v>0.18802136835733826</v>
      </c>
    </row>
    <row r="63" spans="1:23" ht="14.65" thickBot="1" x14ac:dyDescent="0.5">
      <c r="A63" s="4"/>
      <c r="B63" s="26" t="s">
        <v>195</v>
      </c>
      <c r="C63" s="109"/>
      <c r="G63" s="4"/>
      <c r="H63" s="4"/>
      <c r="I63" s="4"/>
    </row>
    <row r="64" spans="1:23" ht="14.65" thickBot="1" x14ac:dyDescent="0.5">
      <c r="A64" s="4"/>
      <c r="B64" s="129" t="s">
        <v>263</v>
      </c>
      <c r="C64" s="118"/>
      <c r="G64" s="4"/>
      <c r="H64" s="4"/>
      <c r="I64" s="4"/>
      <c r="J64" s="74" t="s">
        <v>222</v>
      </c>
      <c r="K64" s="77"/>
      <c r="L64" s="78"/>
    </row>
    <row r="65" spans="1:12" ht="14.65" thickBot="1" x14ac:dyDescent="0.5">
      <c r="A65" s="4"/>
      <c r="B65" s="25" t="s">
        <v>193</v>
      </c>
      <c r="C65" s="109"/>
      <c r="G65" s="4"/>
      <c r="H65" s="4"/>
      <c r="I65" s="4"/>
      <c r="J65" s="7" t="s">
        <v>224</v>
      </c>
      <c r="L65" s="71">
        <v>4.7E-2</v>
      </c>
    </row>
    <row r="66" spans="1:12" ht="14.65" thickBot="1" x14ac:dyDescent="0.5">
      <c r="A66" s="4"/>
      <c r="B66" s="25" t="s">
        <v>194</v>
      </c>
      <c r="C66" s="109" t="s">
        <v>182</v>
      </c>
      <c r="G66" s="4"/>
      <c r="H66" s="4"/>
      <c r="I66" s="4"/>
      <c r="J66" s="7" t="s">
        <v>225</v>
      </c>
      <c r="L66" s="71">
        <v>1.1999999999999999E-3</v>
      </c>
    </row>
    <row r="67" spans="1:12" ht="14.65" thickBot="1" x14ac:dyDescent="0.5">
      <c r="A67" s="4"/>
      <c r="B67" s="27" t="s">
        <v>201</v>
      </c>
      <c r="C67" s="18" t="s">
        <v>138</v>
      </c>
      <c r="G67" s="4"/>
      <c r="H67" s="4"/>
      <c r="I67" s="4"/>
      <c r="J67" s="7" t="s">
        <v>230</v>
      </c>
      <c r="L67" s="71">
        <v>0.28299999999999997</v>
      </c>
    </row>
    <row r="68" spans="1:12" ht="14.65" thickBot="1" x14ac:dyDescent="0.5">
      <c r="A68" s="4"/>
      <c r="B68" s="27" t="s">
        <v>195</v>
      </c>
      <c r="C68" s="109"/>
      <c r="G68" s="4"/>
      <c r="H68" s="4"/>
      <c r="I68" s="4"/>
      <c r="J68" s="7" t="s">
        <v>229</v>
      </c>
      <c r="L68" s="40">
        <v>1.0999999999999999E-2</v>
      </c>
    </row>
    <row r="69" spans="1:12" ht="14.65" thickBot="1" x14ac:dyDescent="0.5">
      <c r="A69" s="30" t="s">
        <v>240</v>
      </c>
      <c r="B69" s="41" t="s">
        <v>237</v>
      </c>
      <c r="C69" s="69">
        <f>IF(B70=A69,1,IF(B70=A70,2,IF(B70=A71,3,0)))</f>
        <v>1</v>
      </c>
      <c r="G69" s="4"/>
      <c r="H69" s="4"/>
      <c r="I69" s="4"/>
      <c r="J69" s="80" t="s">
        <v>228</v>
      </c>
      <c r="K69" s="81"/>
      <c r="L69" s="83">
        <f>L65+L66-ROUND((L67*L68),4)</f>
        <v>4.5100000000000001E-2</v>
      </c>
    </row>
    <row r="70" spans="1:12" ht="42" customHeight="1" thickBot="1" x14ac:dyDescent="0.5">
      <c r="A70" s="30" t="s">
        <v>238</v>
      </c>
      <c r="B70" s="161" t="s">
        <v>240</v>
      </c>
      <c r="C70" s="162"/>
      <c r="G70" s="4"/>
      <c r="H70" s="4"/>
      <c r="I70" s="4"/>
    </row>
    <row r="71" spans="1:12" x14ac:dyDescent="0.45">
      <c r="A71" s="30" t="s">
        <v>239</v>
      </c>
      <c r="B71" s="4" t="s">
        <v>197</v>
      </c>
      <c r="C71" s="4">
        <f>IF(C50&gt;=75,ROUND((1150+1400)/C53,2),IF(C50&gt;=65,ROUND(1150/C53,2),0))</f>
        <v>0</v>
      </c>
      <c r="G71" s="4"/>
      <c r="H71" s="4"/>
      <c r="I71" s="4"/>
      <c r="J71" s="74" t="s">
        <v>223</v>
      </c>
      <c r="K71" s="77"/>
      <c r="L71" s="78"/>
    </row>
    <row r="72" spans="1:12" x14ac:dyDescent="0.45">
      <c r="A72" s="4"/>
      <c r="B72" s="4" t="s">
        <v>198</v>
      </c>
      <c r="C72" s="4">
        <f>IF(C55&gt;=75,ROUND((1150+1400)/C58,2),IF(C55&gt;=65,ROUND(1150/C58,2),0))</f>
        <v>0</v>
      </c>
      <c r="D72" s="4"/>
      <c r="E72" s="4"/>
      <c r="F72" s="4"/>
      <c r="G72" s="4"/>
      <c r="H72" s="4"/>
      <c r="I72" s="4"/>
      <c r="J72" s="7" t="s">
        <v>224</v>
      </c>
      <c r="L72" s="71">
        <v>4.7E-2</v>
      </c>
    </row>
    <row r="73" spans="1:12" x14ac:dyDescent="0.45">
      <c r="A73" s="4"/>
      <c r="B73" s="4" t="s">
        <v>199</v>
      </c>
      <c r="C73" s="4">
        <f>IF(C60&gt;=75,ROUND((1150+1400)/C63,2),IF(C60&gt;=65,ROUND(1150/C63,2),0))</f>
        <v>0</v>
      </c>
      <c r="D73" s="4"/>
      <c r="E73" s="4"/>
      <c r="F73" s="4"/>
      <c r="G73" s="4"/>
      <c r="H73" s="4"/>
      <c r="I73" s="4"/>
      <c r="J73" s="7" t="s">
        <v>225</v>
      </c>
      <c r="L73" s="71">
        <v>1.1999999999999999E-3</v>
      </c>
    </row>
    <row r="74" spans="1:12" x14ac:dyDescent="0.45">
      <c r="A74" s="4"/>
      <c r="B74" s="4" t="s">
        <v>200</v>
      </c>
      <c r="C74" s="4">
        <f>IF(C65&gt;=75,ROUND((1150+1400)/C68,2),IF(C65&gt;=65,ROUND(1150/C68,2),0))</f>
        <v>0</v>
      </c>
      <c r="D74" s="4"/>
      <c r="E74" s="4"/>
      <c r="F74" s="4"/>
      <c r="G74" s="4"/>
      <c r="H74" s="4"/>
      <c r="I74" s="4"/>
      <c r="J74" s="7" t="s">
        <v>226</v>
      </c>
      <c r="L74" s="71">
        <v>1.55E-2</v>
      </c>
    </row>
    <row r="75" spans="1:12" x14ac:dyDescent="0.45">
      <c r="B75" s="4" t="s">
        <v>202</v>
      </c>
      <c r="C75" s="4">
        <f>IF(C50&lt;65,0,IF(C51=A41,ROUND(12000/C53,2),IF(AND(C51=A42,C52="No"),ROUND(3000/C53,2),IF(AND(C51=A42,C52="Sí"),ROUND(6000/C53,2),""))))</f>
        <v>0</v>
      </c>
      <c r="D75" s="4"/>
      <c r="E75" s="4"/>
      <c r="F75" s="4"/>
      <c r="G75" s="4"/>
      <c r="H75" s="4"/>
      <c r="I75" s="4"/>
      <c r="J75" s="7" t="s">
        <v>227</v>
      </c>
      <c r="L75" s="71">
        <v>1E-3</v>
      </c>
    </row>
    <row r="76" spans="1:12" ht="14.65" thickBot="1" x14ac:dyDescent="0.5">
      <c r="B76" s="4" t="s">
        <v>203</v>
      </c>
      <c r="C76" s="4">
        <f>IF(C55&lt;65,0,IF(C56=A41,ROUND(12000/C58,2),IF(AND(C56=A42,C57="No"),ROUND(3000/C58,2),IF(AND(C56=A42,C57="Sí"),ROUND(6000/C58,2),""))))</f>
        <v>0</v>
      </c>
      <c r="D76" s="4"/>
      <c r="E76" s="4"/>
      <c r="F76" s="4"/>
      <c r="G76" s="4"/>
      <c r="H76" s="4"/>
      <c r="I76" s="4"/>
      <c r="J76" s="80" t="s">
        <v>228</v>
      </c>
      <c r="K76" s="81"/>
      <c r="L76" s="82">
        <f>SUM(L72:L75)</f>
        <v>6.4700000000000008E-2</v>
      </c>
    </row>
    <row r="77" spans="1:12" x14ac:dyDescent="0.45">
      <c r="B77" s="4" t="s">
        <v>204</v>
      </c>
      <c r="C77" s="4">
        <f>IF(C60&lt;65,0,IF(C61=A41,ROUND(12000/C63,2),IF(AND(C61=A42,C62="No"),ROUND(3000/C63,2),IF(AND(C61=A42,C62="Sí"),ROUND(6000/C63,2),""))))</f>
        <v>0</v>
      </c>
      <c r="D77" s="4"/>
      <c r="E77" s="4"/>
      <c r="F77" s="4"/>
      <c r="G77" s="4"/>
      <c r="H77" s="4"/>
      <c r="I77" s="4"/>
    </row>
    <row r="78" spans="1:12" x14ac:dyDescent="0.45">
      <c r="B78" s="4" t="s">
        <v>205</v>
      </c>
      <c r="C78" s="4">
        <f>IF(C65&lt;65,0,IF(C66=A41,ROUND(12000/C68,2),IF(AND(C66=A42,C67="No"),ROUND(3000/C68,2),IF(AND(C66=A42,C67="Sí"),ROUND(6000/C68,2),""))))</f>
        <v>0</v>
      </c>
      <c r="D78" s="4"/>
      <c r="E78" s="4"/>
      <c r="F78" s="4"/>
      <c r="G78" s="4"/>
      <c r="H78" s="4"/>
      <c r="I78" s="4"/>
    </row>
    <row r="79" spans="1:12" x14ac:dyDescent="0.45">
      <c r="B79" s="4"/>
      <c r="C79" s="4"/>
      <c r="I79" s="4"/>
    </row>
    <row r="80" spans="1:12" x14ac:dyDescent="0.45">
      <c r="B80" s="4" t="s">
        <v>242</v>
      </c>
      <c r="C80" s="4"/>
      <c r="I80" s="4"/>
    </row>
    <row r="81" spans="2:9" x14ac:dyDescent="0.45">
      <c r="B81" s="4" t="s">
        <v>243</v>
      </c>
      <c r="C81" s="33">
        <f>L49-C35</f>
        <v>34107.811991333328</v>
      </c>
      <c r="I81" s="4"/>
    </row>
    <row r="82" spans="2:9" x14ac:dyDescent="0.45">
      <c r="B82" s="4" t="s">
        <v>244</v>
      </c>
      <c r="C82" s="33">
        <f>C35</f>
        <v>0</v>
      </c>
      <c r="I82" s="4"/>
    </row>
    <row r="83" spans="2:9" x14ac:dyDescent="0.45">
      <c r="B83" s="4" t="s">
        <v>245</v>
      </c>
      <c r="C83" s="34">
        <f>MAX(B85:B90)</f>
        <v>8397.8435973999985</v>
      </c>
      <c r="I83" s="4"/>
    </row>
    <row r="84" spans="2:9" x14ac:dyDescent="0.45">
      <c r="B84" s="4" t="s">
        <v>247</v>
      </c>
      <c r="C84" s="4"/>
      <c r="I84" s="4"/>
    </row>
    <row r="85" spans="2:9" x14ac:dyDescent="0.45">
      <c r="B85" s="4" t="str">
        <f>IF(C81&lt;12450,0+(C81)*0.19,"")</f>
        <v/>
      </c>
      <c r="C85" s="4"/>
      <c r="I85" s="4"/>
    </row>
    <row r="86" spans="2:9" x14ac:dyDescent="0.45">
      <c r="B86" s="4" t="str">
        <f>IF(AND(C81&gt;=12450,C81&lt;20200),2365.5+(C81-12450)*0.24,"")</f>
        <v/>
      </c>
      <c r="C86" s="4"/>
      <c r="I86" s="4"/>
    </row>
    <row r="87" spans="2:9" x14ac:dyDescent="0.45">
      <c r="B87" s="4">
        <f>IF(AND(C81&gt;=20200,C81&lt;35200),4225.5+(C81-20200)*0.3,"")</f>
        <v>8397.8435973999985</v>
      </c>
      <c r="C87" s="4"/>
      <c r="I87" s="4"/>
    </row>
    <row r="88" spans="2:9" x14ac:dyDescent="0.45">
      <c r="B88" s="4" t="str">
        <f>IF(AND(C81&gt;=35200,C81&lt;60000),8725.5+(C81-35200)*0.37,"")</f>
        <v/>
      </c>
      <c r="C88" s="4"/>
      <c r="I88" s="4"/>
    </row>
    <row r="89" spans="2:9" x14ac:dyDescent="0.45">
      <c r="B89" s="4" t="str">
        <f>IF(AND(C81&gt;=60000,C81&lt;300000),17901.5+(C81-60000)*0.45,"")</f>
        <v/>
      </c>
      <c r="C89" s="4"/>
      <c r="I89" s="4"/>
    </row>
    <row r="90" spans="2:9" x14ac:dyDescent="0.45">
      <c r="B90" s="4" t="str">
        <f>IF(C81&gt;300000,125901.5+(C81-300000)*0.47,"")</f>
        <v/>
      </c>
      <c r="C90" s="4"/>
      <c r="I90" s="4"/>
    </row>
    <row r="91" spans="2:9" x14ac:dyDescent="0.45">
      <c r="B91" s="4" t="s">
        <v>246</v>
      </c>
      <c r="C91" s="34">
        <f>MAX(B92:B97)</f>
        <v>0</v>
      </c>
      <c r="I91" s="4"/>
    </row>
    <row r="92" spans="2:9" x14ac:dyDescent="0.45">
      <c r="B92" s="4">
        <f>IF(C82&lt;12450,0+(C82)*0.19,"")</f>
        <v>0</v>
      </c>
      <c r="C92" s="4"/>
      <c r="I92" s="4"/>
    </row>
    <row r="93" spans="2:9" x14ac:dyDescent="0.45">
      <c r="B93" s="4" t="str">
        <f>IF(AND(C82&gt;=12450,C82&lt;20200),2365.5+(C82-12450)*0.24,"")</f>
        <v/>
      </c>
      <c r="C93" s="4"/>
      <c r="I93" s="4"/>
    </row>
    <row r="94" spans="2:9" x14ac:dyDescent="0.45">
      <c r="B94" s="4" t="str">
        <f>IF(AND(C82&gt;=20200,C82&lt;35200),4225.5+(C82-20200)*0.3,"")</f>
        <v/>
      </c>
      <c r="C94" s="4"/>
      <c r="I94" s="4"/>
    </row>
    <row r="95" spans="2:9" x14ac:dyDescent="0.45">
      <c r="B95" s="4" t="str">
        <f>IF(AND(C82&gt;=35200,C82&lt;60000),8725.5+(C82-35200)*0.37,"")</f>
        <v/>
      </c>
      <c r="C95" s="4"/>
      <c r="I95" s="4"/>
    </row>
    <row r="96" spans="2:9" x14ac:dyDescent="0.45">
      <c r="B96" s="4" t="str">
        <f>IF(AND(C82&gt;=60000,C82&lt;300000),17901.5+(C82-60000)*0.45,"")</f>
        <v/>
      </c>
      <c r="C96" s="4"/>
    </row>
    <row r="97" spans="2:3" x14ac:dyDescent="0.45">
      <c r="B97" s="4" t="str">
        <f>IF(C82&gt;300000,125901.5+(C82-300000)*0.47,"")</f>
        <v/>
      </c>
      <c r="C97" s="4"/>
    </row>
    <row r="98" spans="2:3" x14ac:dyDescent="0.45">
      <c r="B98" s="4" t="s">
        <v>248</v>
      </c>
      <c r="C98" s="33">
        <f>IF(AND(C35&gt;0,L49-C35&gt;0),C91+C83,C108)</f>
        <v>8397.8435973999985</v>
      </c>
    </row>
    <row r="99" spans="2:3" x14ac:dyDescent="0.45">
      <c r="B99" s="4" t="s">
        <v>249</v>
      </c>
      <c r="C99" s="34">
        <f>IF(AND(C35&gt;0,L49-C35&gt;0),L48+1980,L48)</f>
        <v>5550</v>
      </c>
    </row>
    <row r="100" spans="2:3" x14ac:dyDescent="0.45">
      <c r="B100" s="4" t="s">
        <v>250</v>
      </c>
      <c r="C100" s="34">
        <f>MAX(B101:B106)</f>
        <v>1054.5</v>
      </c>
    </row>
    <row r="101" spans="2:3" x14ac:dyDescent="0.45">
      <c r="B101" s="4">
        <f>IF(C99&lt;12450,0+(C99)*0.19,"")</f>
        <v>1054.5</v>
      </c>
      <c r="C101" s="4"/>
    </row>
    <row r="102" spans="2:3" x14ac:dyDescent="0.45">
      <c r="B102" s="4" t="str">
        <f>IF(AND(C99&gt;=12450,C99&lt;20200),2365.5+(C99-12450)*0.24,"")</f>
        <v/>
      </c>
      <c r="C102" s="4"/>
    </row>
    <row r="103" spans="2:3" x14ac:dyDescent="0.45">
      <c r="B103" s="4" t="str">
        <f>IF(AND(C99&gt;=20200,C99&lt;35200),4225.5+(C99-20200)*0.3,"")</f>
        <v/>
      </c>
      <c r="C103" s="4"/>
    </row>
    <row r="104" spans="2:3" x14ac:dyDescent="0.45">
      <c r="B104" s="4" t="str">
        <f>IF(AND(C99&gt;=35200,C99&lt;60000),8725.5+(C99-35200)*0.37,"")</f>
        <v/>
      </c>
      <c r="C104" s="4"/>
    </row>
    <row r="105" spans="2:3" x14ac:dyDescent="0.45">
      <c r="B105" s="4" t="str">
        <f>IF(AND(C99&gt;=60000,C99&lt;300000),17901.5+(C99-60000)*0.45,"")</f>
        <v/>
      </c>
      <c r="C105" s="4"/>
    </row>
    <row r="106" spans="2:3" x14ac:dyDescent="0.45">
      <c r="B106" s="4" t="str">
        <f>IF(C99&gt;300000,125901.5+(C99-300000)*0.47,"")</f>
        <v/>
      </c>
      <c r="C106" s="4"/>
    </row>
    <row r="107" spans="2:3" x14ac:dyDescent="0.45">
      <c r="B107" s="4" t="s">
        <v>251</v>
      </c>
      <c r="C107" s="35">
        <f>IF(C98&gt;C100,C98-C100,L60)</f>
        <v>7343.3435973999985</v>
      </c>
    </row>
    <row r="108" spans="2:3" x14ac:dyDescent="0.45">
      <c r="B108" s="4" t="s">
        <v>252</v>
      </c>
      <c r="C108" s="34">
        <f>MAX(B109:B115)</f>
        <v>8397.8435973999985</v>
      </c>
    </row>
    <row r="109" spans="2:3" x14ac:dyDescent="0.45">
      <c r="B109" s="4" t="str">
        <f>IF(L49&lt;12450,0+(L49)*0.19,"")</f>
        <v/>
      </c>
      <c r="C109" s="4"/>
    </row>
    <row r="110" spans="2:3" x14ac:dyDescent="0.45">
      <c r="B110" s="4" t="str">
        <f>IF(AND(L49&gt;=12450,L49&lt;20200),2365.5+(L49-12450)*0.24,"")</f>
        <v/>
      </c>
      <c r="C110" s="4"/>
    </row>
    <row r="111" spans="2:3" x14ac:dyDescent="0.45">
      <c r="B111" s="4">
        <f>IF(AND(L49&gt;=20200,L49&lt;35200),4225.5+(L49-20200)*0.3,"")</f>
        <v>8397.8435973999985</v>
      </c>
      <c r="C111" s="4"/>
    </row>
    <row r="112" spans="2:3" x14ac:dyDescent="0.45">
      <c r="B112" s="4" t="str">
        <f>IF(AND(L49&gt;=35200,L49&lt;60000),8725.5+(L49-35200)*0.37,"")</f>
        <v/>
      </c>
      <c r="C112" s="4"/>
    </row>
    <row r="113" spans="2:3" x14ac:dyDescent="0.45">
      <c r="B113" s="4" t="str">
        <f>IF(AND(L49&gt;=60000,L49&lt;300000),17901.5+(L49-60000)*0.45,"")</f>
        <v/>
      </c>
      <c r="C113" s="4"/>
    </row>
    <row r="114" spans="2:3" x14ac:dyDescent="0.45">
      <c r="B114" s="4" t="str">
        <f>IF(L49&gt;300000,125901.5+(L49-300000)*0.47,"")</f>
        <v/>
      </c>
      <c r="C114" s="4"/>
    </row>
    <row r="115" spans="2:3" x14ac:dyDescent="0.45">
      <c r="B115" s="4"/>
      <c r="C115" s="4"/>
    </row>
    <row r="116" spans="2:3" x14ac:dyDescent="0.45">
      <c r="B116" s="4"/>
      <c r="C116" s="4"/>
    </row>
    <row r="117" spans="2:3" x14ac:dyDescent="0.45">
      <c r="B117" s="4" t="s">
        <v>253</v>
      </c>
      <c r="C117" s="4"/>
    </row>
    <row r="118" spans="2:3" x14ac:dyDescent="0.45">
      <c r="B118" s="4" t="s">
        <v>255</v>
      </c>
      <c r="C118" s="4"/>
    </row>
    <row r="119" spans="2:3" x14ac:dyDescent="0.45">
      <c r="B119" s="4" t="s">
        <v>254</v>
      </c>
      <c r="C119" s="4"/>
    </row>
    <row r="120" spans="2:3" x14ac:dyDescent="0.45">
      <c r="B120" s="4">
        <f>IF(AND(L36&lt;=35200,C69=1,C36=1),(L36-(17270+C119+C120))*0.43,0)</f>
        <v>0</v>
      </c>
      <c r="C120" s="4"/>
    </row>
    <row r="121" spans="2:3" x14ac:dyDescent="0.45">
      <c r="B121" s="4">
        <f>IF(AND(L36&lt;=35200,C69=1,C36&gt;1),(L36-(18617+C119+C120))*0.43,0)</f>
        <v>0</v>
      </c>
      <c r="C121" s="4"/>
    </row>
    <row r="122" spans="2:3" x14ac:dyDescent="0.45">
      <c r="B122" s="4">
        <f>IF(AND(L36&lt;=35200,C69=2,C36=0),(L36-(16696+C119+C120))*0.43,0)</f>
        <v>0</v>
      </c>
      <c r="C122" s="4"/>
    </row>
    <row r="123" spans="2:3" x14ac:dyDescent="0.45">
      <c r="B123" s="4">
        <f>IF(AND(L36&lt;=35200,C69=2,C36=1),(L36-(17894+C119+C120))*0.43,0)</f>
        <v>0</v>
      </c>
      <c r="C123" s="4"/>
    </row>
    <row r="124" spans="2:3" x14ac:dyDescent="0.45">
      <c r="B124" s="4">
        <f>IF(AND(L36&lt;=35200,C69=2,C36&gt;1),(L36-(19241+C119+C120))*0.43,0)</f>
        <v>0</v>
      </c>
      <c r="C124" s="4"/>
    </row>
    <row r="125" spans="2:3" x14ac:dyDescent="0.45">
      <c r="B125" s="4">
        <f>IF(AND(L36&lt;=35200,C69=3,C36=0),(L36-(15000+C119+C120))*0.43,0)</f>
        <v>0</v>
      </c>
      <c r="C125" s="4"/>
    </row>
    <row r="126" spans="2:3" x14ac:dyDescent="0.45">
      <c r="B126" s="4">
        <f>IF(AND(L36&lt;=35200,C69=3,C36=1),(L36-(15599+C119+C120))*0.43,0)</f>
        <v>0</v>
      </c>
      <c r="C126" s="4"/>
    </row>
    <row r="127" spans="2:3" x14ac:dyDescent="0.45">
      <c r="B127" s="4">
        <f>IF(AND(L36&lt;=35200,C69=3,C36&gt;1),(L36-(16272+C119+C120))*0.43,0)</f>
        <v>0</v>
      </c>
      <c r="C127" s="4"/>
    </row>
    <row r="128" spans="2:3" x14ac:dyDescent="0.45">
      <c r="B128" s="4" t="s">
        <v>257</v>
      </c>
      <c r="C128" s="4" t="str">
        <f>IF(MAX(B120:B127)&gt;0,"Sí","No")</f>
        <v>No</v>
      </c>
    </row>
    <row r="129" spans="2:3" x14ac:dyDescent="0.45">
      <c r="B129" s="4" t="s">
        <v>258</v>
      </c>
      <c r="C129" s="4">
        <f>MAX(B120:B127)</f>
        <v>0</v>
      </c>
    </row>
    <row r="130" spans="2:3" x14ac:dyDescent="0.45">
      <c r="B130" s="4" t="s">
        <v>256</v>
      </c>
      <c r="C130" s="35">
        <f>IF(C128="No",C107,IF(C107&gt;C129,C129,C107))</f>
        <v>7343.3435973999985</v>
      </c>
    </row>
    <row r="131" spans="2:3" x14ac:dyDescent="0.45">
      <c r="B131" s="4"/>
      <c r="C131" s="4"/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  <row r="138" spans="2:3" x14ac:dyDescent="0.45">
      <c r="B138" s="4"/>
      <c r="C138" s="4"/>
    </row>
  </sheetData>
  <sheetProtection algorithmName="SHA-512" hashValue="Q1fSE4MeVCgTgYW5eW7yG6yhsBcSqpbQawMoQLOOdJSm55nfBX+619gOIx6gJ3LG/tcAx2XSfpa7hmM7Lrw3Iw==" saltValue="pJgzQTM6rQBed4i45Vj6wg==" spinCount="100000" sheet="1" objects="1" scenarios="1"/>
  <mergeCells count="13">
    <mergeCell ref="J2:K2"/>
    <mergeCell ref="M4:M5"/>
    <mergeCell ref="B29:C29"/>
    <mergeCell ref="B70:C70"/>
    <mergeCell ref="B3:C3"/>
    <mergeCell ref="J3:K3"/>
    <mergeCell ref="J4:K5"/>
    <mergeCell ref="L4:L5"/>
    <mergeCell ref="B32:C32"/>
    <mergeCell ref="B42:B44"/>
    <mergeCell ref="C42:C44"/>
    <mergeCell ref="B45:B47"/>
    <mergeCell ref="C45:C47"/>
  </mergeCells>
  <dataValidations count="18">
    <dataValidation type="list" allowBlank="1" showInputMessage="1" showErrorMessage="1" sqref="B70" xr:uid="{00000000-0002-0000-0B00-000000000000}">
      <formula1>$A$69:$A$71</formula1>
    </dataValidation>
    <dataValidation type="list" allowBlank="1" showInputMessage="1" showErrorMessage="1" sqref="C39 C66 C56 C51 C61" xr:uid="{00000000-0002-0000-0B00-000001000000}">
      <formula1>$A$39:$A$43</formula1>
    </dataValidation>
    <dataValidation type="whole" allowBlank="1" showInputMessage="1" showErrorMessage="1" sqref="C45" xr:uid="{00000000-0002-0000-0B00-000002000000}">
      <formula1>0</formula1>
      <formula2>C41</formula2>
    </dataValidation>
    <dataValidation type="whole" allowBlank="1" showInputMessage="1" showErrorMessage="1" sqref="C53 C58 C63 C68" xr:uid="{00000000-0002-0000-0B00-000003000000}">
      <formula1>0</formula1>
      <formula2>20</formula2>
    </dataValidation>
    <dataValidation type="whole" allowBlank="1" showInputMessage="1" showErrorMessage="1" sqref="C50 C55 C60 C65" xr:uid="{00000000-0002-0000-0B00-000004000000}">
      <formula1>18</formula1>
      <formula2>130</formula2>
    </dataValidation>
    <dataValidation type="whole" allowBlank="1" showInputMessage="1" showErrorMessage="1" sqref="C37 C41:C42" xr:uid="{00000000-0002-0000-0B00-000005000000}">
      <formula1>0</formula1>
      <formula2>C36</formula2>
    </dataValidation>
    <dataValidation type="whole" allowBlank="1" showInputMessage="1" showErrorMessage="1" sqref="C36" xr:uid="{00000000-0002-0000-0B00-000006000000}">
      <formula1>0</formula1>
      <formula2>100</formula2>
    </dataValidation>
    <dataValidation type="list" allowBlank="1" showInputMessage="1" showErrorMessage="1" sqref="C30" xr:uid="{00000000-0002-0000-0B00-000007000000}">
      <formula1>$A$36:$A$38</formula1>
    </dataValidation>
    <dataValidation type="whole" allowBlank="1" showInputMessage="1" showErrorMessage="1" sqref="C28" xr:uid="{00000000-0002-0000-0B00-000009000000}">
      <formula1>0</formula1>
      <formula2>10000</formula2>
    </dataValidation>
    <dataValidation type="whole" allowBlank="1" showInputMessage="1" showErrorMessage="1" sqref="C26" xr:uid="{00000000-0002-0000-0B00-00000A000000}">
      <formula1>0</formula1>
      <formula2>30</formula2>
    </dataValidation>
    <dataValidation type="list" allowBlank="1" showInputMessage="1" showErrorMessage="1" sqref="C27 C48 C67 C62 C57 C52 C40 C38 C33 C15:C25" xr:uid="{00000000-0002-0000-0B00-00000B000000}">
      <formula1>$H$13:$H$14</formula1>
    </dataValidation>
    <dataValidation type="list" allowBlank="1" showInputMessage="1" showErrorMessage="1" sqref="C14" xr:uid="{00000000-0002-0000-0B00-00000C000000}">
      <formula1>$F$13:$F$18</formula1>
    </dataValidation>
    <dataValidation type="list" allowBlank="1" showInputMessage="1" showErrorMessage="1" sqref="C13" xr:uid="{00000000-0002-0000-0B00-00000D000000}">
      <formula1>$D$13:$D$20</formula1>
    </dataValidation>
    <dataValidation type="decimal" allowBlank="1" showInputMessage="1" showErrorMessage="1" sqref="C4:C5" xr:uid="{00000000-0002-0000-0B00-00000E000000}">
      <formula1>0</formula1>
      <formula2>100</formula2>
    </dataValidation>
    <dataValidation type="whole" allowBlank="1" showInputMessage="1" showErrorMessage="1" sqref="C12" xr:uid="{00000000-0002-0000-0B00-00000F000000}">
      <formula1>0</formula1>
      <formula2>5</formula2>
    </dataValidation>
    <dataValidation type="whole" allowBlank="1" showInputMessage="1" showErrorMessage="1" sqref="C6:C10" xr:uid="{00000000-0002-0000-0B00-000010000000}">
      <formula1>0</formula1>
      <formula2>14</formula2>
    </dataValidation>
    <dataValidation type="list" allowBlank="1" showInputMessage="1" showErrorMessage="1" sqref="C11" xr:uid="{00000000-0002-0000-0B00-000011000000}">
      <formula1>$D$5:$D$6</formula1>
    </dataValidation>
    <dataValidation type="whole" allowBlank="1" showInputMessage="1" showErrorMessage="1" sqref="C31" xr:uid="{D3DD82AB-D56F-4E56-B3FA-1C09E4492FD8}">
      <formula1>1980</formula1>
      <formula2>2024</formula2>
    </dataValidation>
  </dataValidations>
  <hyperlinks>
    <hyperlink ref="B2" location="Inicio!A1" display="Ir a inicio" xr:uid="{00000000-0004-0000-0B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138"/>
  <sheetViews>
    <sheetView showRowColHeaders="0" zoomScaleNormal="100" workbookViewId="0">
      <selection activeCell="C4" sqref="C4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L4-SUM(L28:L32)</f>
        <v>2092.2681910821029</v>
      </c>
      <c r="M3" s="73">
        <f>M4-SUM(M28:M32)</f>
        <v>2039.2031355073807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SUM(L6:L26)</f>
        <v>2836.0899999999997</v>
      </c>
      <c r="M4" s="157">
        <f>SUM(M6:M26)</f>
        <v>2511.4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ROUND((C4/100)*Datos!E6,2)</f>
        <v>1199.52</v>
      </c>
      <c r="M6" s="52">
        <f>ROUND((C4/100)*Datos!E7,2)</f>
        <v>874.83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ROUND(($C$4/100)*Datos!E9,2)</f>
        <v>729.14</v>
      </c>
      <c r="M7" s="53">
        <f>L7</f>
        <v>729.14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ROUND(($C$4/100)*Datos!E13,2)</f>
        <v>907.43</v>
      </c>
      <c r="M8" s="53">
        <f>L8</f>
        <v>907.43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29" t="s">
        <v>278</v>
      </c>
      <c r="C11" s="18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IF(C13=D14,ROUND(C4*MAX(E28:E33,G28:G33)/100,2),0)</f>
        <v>0</v>
      </c>
      <c r="M11" s="53">
        <f t="shared" ref="M11:M26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IF(C13=D16,ROUND(C4*MAX(F28:F32,H28:H32)/100,2),0)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65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IF(C13=D15,ROUND(C4*MAX(F28:F32,H28:H32)/100,2),0)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65" thickBot="1" x14ac:dyDescent="0.5">
      <c r="A14" s="4"/>
      <c r="B14" s="129" t="s">
        <v>124</v>
      </c>
      <c r="C14" s="18" t="s">
        <v>22</v>
      </c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IF(C13=D17,ROUND(Datos!E77*PTFP!C4/100,2),0)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65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tr">
        <f>B16</f>
        <v>Jefatura de Residencia Tipo A</v>
      </c>
      <c r="K15" s="61"/>
      <c r="L15" s="53">
        <f>IF(C16="Sí",ROUND(Datos!E85*PTFP!C4/100,2),0)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65" thickBot="1" x14ac:dyDescent="0.5">
      <c r="A16" s="4"/>
      <c r="B16" s="129" t="s">
        <v>45</v>
      </c>
      <c r="C16" s="18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tr">
        <f>B17</f>
        <v>Jefatura de Residencia Tipo B</v>
      </c>
      <c r="K16" s="61"/>
      <c r="L16" s="53">
        <f>IF(C17="Sí",ROUND(Datos!E86*PTFP!C4/100,2),0)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65" thickBot="1" x14ac:dyDescent="0.5">
      <c r="A17" s="4"/>
      <c r="B17" s="129" t="s">
        <v>46</v>
      </c>
      <c r="C17" s="18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 t="str">
        <f>B18</f>
        <v>Jefatura de Residencia de CEE</v>
      </c>
      <c r="K17" s="61"/>
      <c r="L17" s="53">
        <f>IF(C18="Sí",ROUND(Datos!E87*PTFP!C4/100,2),0)</f>
        <v>0</v>
      </c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65" thickBot="1" x14ac:dyDescent="0.5">
      <c r="A18" s="4"/>
      <c r="B18" s="129" t="s">
        <v>99</v>
      </c>
      <c r="C18" s="18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 t="str">
        <f>B19</f>
        <v>Coordinación Equipos de Atención Hospitalaria y Domiciliaria</v>
      </c>
      <c r="K18" s="61"/>
      <c r="L18" s="53">
        <f>IF(C19="Sí",ROUND(Datos!E89*PTFP!C4/100,2),0)</f>
        <v>0</v>
      </c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65" thickBot="1" x14ac:dyDescent="0.5">
      <c r="A19" s="4"/>
      <c r="B19" s="129" t="s">
        <v>97</v>
      </c>
      <c r="C19" s="18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 t="str">
        <f>B20</f>
        <v>Coordinación Programa Recuperación Pueblos Abandonados</v>
      </c>
      <c r="K19" s="61"/>
      <c r="L19" s="53">
        <f>IF(C20="Sí",ROUND(Datos!E90*PTFP!C4/100,2),0)</f>
        <v>0</v>
      </c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65" thickBot="1" x14ac:dyDescent="0.5">
      <c r="A20" s="4"/>
      <c r="B20" s="129" t="s">
        <v>98</v>
      </c>
      <c r="C20" s="18" t="s">
        <v>138</v>
      </c>
      <c r="D20" s="4" t="s">
        <v>277</v>
      </c>
      <c r="E20" s="4"/>
      <c r="F20" s="4"/>
      <c r="G20" s="4"/>
      <c r="H20" s="4"/>
      <c r="I20" s="4"/>
      <c r="J20" s="36" t="s">
        <v>48</v>
      </c>
      <c r="K20" s="61"/>
      <c r="L20" s="53">
        <f>IF(C15="Sí",ROUND(Datos!E91*PTFP!C4/100,2),0)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65" thickBot="1" x14ac:dyDescent="0.5">
      <c r="A21" s="4"/>
      <c r="B21" s="129" t="s">
        <v>49</v>
      </c>
      <c r="C21" s="18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IF(C22="Sí",ROUND(Datos!E97*PTFP!C4/100,2),0)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65" thickBot="1" x14ac:dyDescent="0.5">
      <c r="A22" s="4"/>
      <c r="B22" s="129" t="s">
        <v>269</v>
      </c>
      <c r="C22" s="18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IF(C24="Sí",ROUND(C4*SUM(D24:D26)/100,2),0)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65" thickBot="1" x14ac:dyDescent="0.5">
      <c r="A23" s="4"/>
      <c r="B23" s="129" t="s">
        <v>334</v>
      </c>
      <c r="C23" s="18" t="s">
        <v>138</v>
      </c>
      <c r="D23" s="4"/>
      <c r="E23" s="4"/>
      <c r="F23" s="4"/>
      <c r="G23" s="4"/>
      <c r="H23" s="4"/>
      <c r="I23" s="4"/>
      <c r="J23" s="36" t="s">
        <v>335</v>
      </c>
      <c r="K23" s="61"/>
      <c r="L23" s="53">
        <f>IF(C23="Sí",ROUND(Datos!E96*C4/100,2),0)</f>
        <v>0</v>
      </c>
      <c r="M23" s="53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65" thickBot="1" x14ac:dyDescent="0.5">
      <c r="A24" s="4"/>
      <c r="B24" s="129" t="s">
        <v>144</v>
      </c>
      <c r="C24" s="18" t="s">
        <v>138</v>
      </c>
      <c r="D24" s="4">
        <f>IF(C24="No",0,Datos!E102)</f>
        <v>0</v>
      </c>
      <c r="E24" s="4"/>
      <c r="F24" s="4"/>
      <c r="G24" s="4"/>
      <c r="H24" s="4"/>
      <c r="I24" s="4"/>
      <c r="J24" s="36" t="s">
        <v>153</v>
      </c>
      <c r="K24" s="61"/>
      <c r="L24" s="53">
        <f>IF(C27="Sí",ROUND(C4*MIN(D28:D37)/100,2),0)</f>
        <v>0</v>
      </c>
      <c r="M24" s="53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65" thickBot="1" x14ac:dyDescent="0.5">
      <c r="A25" s="4"/>
      <c r="B25" s="13" t="s">
        <v>142</v>
      </c>
      <c r="C25" s="18" t="s">
        <v>138</v>
      </c>
      <c r="D25" s="4">
        <f>IF(AND(C24="Sí",C25="Sí"),Datos!E103,0)</f>
        <v>0</v>
      </c>
      <c r="E25" s="4"/>
      <c r="F25" s="4"/>
      <c r="G25" s="4"/>
      <c r="H25" s="4"/>
      <c r="I25" s="4"/>
      <c r="J25" s="36" t="s">
        <v>273</v>
      </c>
      <c r="K25" s="62"/>
      <c r="L25" s="53">
        <f>IF(D21&gt;0,ROUND(C4*MAX(E28:E34,G28:G34)*D21/100,2),0)</f>
        <v>0</v>
      </c>
      <c r="M25" s="53">
        <f>L25</f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65" thickBot="1" x14ac:dyDescent="0.5">
      <c r="A26" s="4"/>
      <c r="B26" s="12" t="s">
        <v>143</v>
      </c>
      <c r="C26" s="19">
        <v>0</v>
      </c>
      <c r="D26" s="4">
        <f>IF(C24="Sí",C26*Datos!E104,0)</f>
        <v>0</v>
      </c>
      <c r="E26" s="4"/>
      <c r="F26" s="4"/>
      <c r="G26" s="4"/>
      <c r="H26" s="4"/>
      <c r="I26" s="4"/>
      <c r="J26" s="54" t="s">
        <v>283</v>
      </c>
      <c r="K26" s="63"/>
      <c r="L26" s="55">
        <f>IF(C21="Sí",ROUND(Datos!E92*C4/100,2),0)</f>
        <v>0</v>
      </c>
      <c r="M26" s="55">
        <f t="shared" si="1"/>
        <v>0</v>
      </c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4.65" thickBot="1" x14ac:dyDescent="0.5">
      <c r="A27" s="4"/>
      <c r="B27" s="129" t="s">
        <v>145</v>
      </c>
      <c r="C27" s="18" t="s">
        <v>138</v>
      </c>
      <c r="D27" s="4"/>
      <c r="E27" s="4" t="s">
        <v>125</v>
      </c>
      <c r="F27" s="4" t="s">
        <v>154</v>
      </c>
      <c r="G27" s="4" t="s">
        <v>280</v>
      </c>
      <c r="H27" s="4" t="s">
        <v>281</v>
      </c>
      <c r="I27" s="4"/>
      <c r="J27" s="57" t="s">
        <v>162</v>
      </c>
      <c r="K27" s="58"/>
      <c r="L27" s="59"/>
      <c r="M27" s="58"/>
      <c r="Q27" s="22"/>
      <c r="R27" s="2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3" t="s">
        <v>146</v>
      </c>
      <c r="C28" s="18">
        <v>0</v>
      </c>
      <c r="D28" s="4">
        <f>IF($C$28&lt;=50,Datos!E107,"")</f>
        <v>17.649999999999999</v>
      </c>
      <c r="E28" s="4" t="str">
        <f>IF(AND(C11=D5,$D12=$D$14,$C$14=F13),Datos!E64,"")</f>
        <v/>
      </c>
      <c r="F28" s="4" t="str">
        <f>IF(AND(OR($C$13=$D$15,$C$13=$D$16),$C$14=F13,C11=D5),Datos!E68,"")</f>
        <v/>
      </c>
      <c r="G28" s="4" t="str">
        <f>IF(AND(C11=D6,$D12=$D$14,$C$14=F13),Datos!E32,"")</f>
        <v/>
      </c>
      <c r="H28" s="4" t="str">
        <f>IF(AND(OR($C$13=$D$15,$C$13=$D$16),$C$14=F13,C11=D6),Datos!E38,"")</f>
        <v/>
      </c>
      <c r="I28" s="4"/>
      <c r="J28" s="7" t="s">
        <v>231</v>
      </c>
      <c r="K28" s="40"/>
      <c r="L28" s="20">
        <f>IF(OR(C30=A37,C30=A36),40.68*C4/100,0)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71" t="s">
        <v>233</v>
      </c>
      <c r="C29" s="172"/>
      <c r="D29" s="4">
        <f>IF($C$28&lt;=100,Datos!E108,"")</f>
        <v>35.32</v>
      </c>
      <c r="E29" s="4" t="str">
        <f>IF(AND(C11=D5,$D$12=$D$14,$C$14=F14),Datos!E65,"")</f>
        <v/>
      </c>
      <c r="F29" s="4" t="str">
        <f>IF(AND(OR($C$13=$D$15,$C$13=$D$16),$C$14=F14,C11=D5),Datos!E69,"")</f>
        <v/>
      </c>
      <c r="G29" s="4" t="str">
        <f>IF(AND(C11=D6,$D12=$D$14,$C$14=F14),Datos!E33,"")</f>
        <v/>
      </c>
      <c r="H29" s="4" t="str">
        <f>IF(AND(OR($C$13=$D$15,$C$13=$D$16),$C$14=F14,C11=D6),Datos!E39,"")</f>
        <v/>
      </c>
      <c r="I29" s="4"/>
      <c r="J29" s="7" t="s">
        <v>232</v>
      </c>
      <c r="K29" s="40"/>
      <c r="L29" s="20">
        <f>IF(AND(OR(C30=A37,C30=A36),C31&lt;2011),92.9*C4/100,0)</f>
        <v>0</v>
      </c>
      <c r="M29" s="49">
        <f>L29</f>
        <v>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4.65" thickBot="1" x14ac:dyDescent="0.5">
      <c r="A30" s="4"/>
      <c r="B30" s="129" t="s">
        <v>158</v>
      </c>
      <c r="C30" s="18" t="s">
        <v>161</v>
      </c>
      <c r="D30" s="4">
        <f>IF($C$28&lt;=150,Datos!E109,"")</f>
        <v>52.97</v>
      </c>
      <c r="E30" s="4" t="str">
        <f>IF(AND(C11=D5,$D$12=$D$14,$C$14=F15),Datos!E66,"")</f>
        <v/>
      </c>
      <c r="F30" s="4" t="str">
        <f>IF(AND(OR($C$13=$D$15,$C$13=$D$16),$C$14=F15,C11=D5),Datos!E70,"")</f>
        <v/>
      </c>
      <c r="G30" s="4" t="str">
        <f>IF(AND(C11=D6,$D12=$D$14,$C$14=F15),Datos!E34,"")</f>
        <v/>
      </c>
      <c r="H30" s="4" t="str">
        <f>IF(AND(OR($C$13=$D$15,$C$13=$D$16),$C$14=F15,C11=D6),Datos!E40,"")</f>
        <v/>
      </c>
      <c r="I30" s="4"/>
      <c r="J30" s="7" t="s">
        <v>163</v>
      </c>
      <c r="K30" s="40"/>
      <c r="L30" s="20">
        <f>IF(OR(C30=A37,AND(C30=A36,C31&gt;=2011)),(L4+(M4/6))*L69,0)</f>
        <v>0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29" t="str">
        <f>IF(C30=A36,"¿En qué año aprobaste la oposición?","")</f>
        <v/>
      </c>
      <c r="C31" s="18"/>
      <c r="D31" s="4">
        <f>IF($C$28&lt;=200,Datos!E110,"")</f>
        <v>70.64</v>
      </c>
      <c r="E31" s="4" t="str">
        <f>IF(AND(C11=D5,$D$12=$D$14,$C$14=F16),Datos!E67,"")</f>
        <v/>
      </c>
      <c r="F31" s="4" t="str">
        <f>IF(AND(OR($C$13=$D$15,$C$13=$D$16),$C$14=F16,C11=D5),Datos!E71,"")</f>
        <v/>
      </c>
      <c r="G31" s="4" t="str">
        <f>IF(AND(C11=D6,$D12=$D$14,$C$14=F13),Datos!E35,"")</f>
        <v/>
      </c>
      <c r="H31" s="4" t="str">
        <f>IF(AND(OR($C$13=$D$15,$C$13=$D$16),$C$14=F16,C11=D6),Datos!E41,"")</f>
        <v/>
      </c>
      <c r="I31" s="4"/>
      <c r="J31" s="7" t="s">
        <v>164</v>
      </c>
      <c r="K31" s="40"/>
      <c r="L31" s="46">
        <f>IF(C30=A38,L4*0.0647+M4*0.0647/6,0)</f>
        <v>210.57628633333331</v>
      </c>
      <c r="M31" s="9">
        <v>0</v>
      </c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71" t="s">
        <v>169</v>
      </c>
      <c r="C32" s="172"/>
      <c r="D32" s="4">
        <f>IF($C$28&lt;=250,Datos!E111,"")</f>
        <v>88.29</v>
      </c>
      <c r="E32" s="4" t="str">
        <f>IF(AND($C$13=$D$14,$C$15&lt;&gt;"",$C$15&lt;&gt;$G$13,$C$14=F17),Datos!E36,"")</f>
        <v/>
      </c>
      <c r="F32" s="4"/>
      <c r="G32" s="4" t="str">
        <f>IF(AND(C11=D6,$D12=$D$14,$C$14=F16),Datos!E36,"")</f>
        <v/>
      </c>
      <c r="H32" s="4" t="str">
        <f>IF(AND(OR($C$13=$D$15,$C$13=$D$16),$C$14=F17,C11=D6),Datos!E42,"")</f>
        <v/>
      </c>
      <c r="I32" s="4"/>
      <c r="J32" s="14" t="s">
        <v>165</v>
      </c>
      <c r="K32" s="48">
        <f>L62</f>
        <v>0.18802136835733826</v>
      </c>
      <c r="L32" s="47">
        <f>L4*K32</f>
        <v>533.24552258456345</v>
      </c>
      <c r="M32" s="50">
        <f>M4*K32</f>
        <v>472.19686449261934</v>
      </c>
      <c r="O32" s="4"/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171</v>
      </c>
      <c r="C33" s="18" t="s">
        <v>138</v>
      </c>
      <c r="D33" s="4">
        <f>IF($C$28&lt;=300,Datos!E112,"")</f>
        <v>105.96</v>
      </c>
      <c r="E33" s="4" t="str">
        <f>IF(AND($C$13=$D$14,$C$15&lt;&gt;"",$C$15&lt;&gt;$G$13,$C$14=F18),Datos!E37,"")</f>
        <v/>
      </c>
      <c r="F33" s="4"/>
      <c r="G33" s="4" t="str">
        <f>IF(AND(C11=D6,$D12=$D$14,$C$14=F17),Datos!E37,"")</f>
        <v/>
      </c>
      <c r="H33" s="4"/>
      <c r="I33" s="4"/>
      <c r="O33" s="4" t="s">
        <v>176</v>
      </c>
      <c r="P33" s="4"/>
      <c r="Q33" s="4"/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191</v>
      </c>
      <c r="C34" s="116">
        <v>0</v>
      </c>
      <c r="D34" s="4">
        <f>IF($C$28&lt;=350,Datos!E113,"")</f>
        <v>123.62</v>
      </c>
      <c r="E34" s="4"/>
      <c r="F34" s="4" t="str">
        <f>IF(AND(OR($C$13=$D$15,$C$13=$D$16),$C$15&lt;&gt;"",$C$15&lt;&gt;$G$13,$C$14=F19),Datos!E44,"")</f>
        <v/>
      </c>
      <c r="G34" s="4" t="str">
        <f>IF(AND(C11=D6,$D12=$D$14,$C$14=F18),Datos!E38,"")</f>
        <v/>
      </c>
      <c r="H34" s="4"/>
      <c r="I34" s="4"/>
      <c r="O34" s="4" t="s">
        <v>177</v>
      </c>
      <c r="P34" s="4">
        <v>2400</v>
      </c>
      <c r="Q34" s="4">
        <v>2400</v>
      </c>
      <c r="R34" s="4"/>
      <c r="S34" s="4"/>
      <c r="T34" s="4"/>
      <c r="U34" s="4"/>
      <c r="V34" s="4"/>
      <c r="W34" s="4"/>
    </row>
    <row r="35" spans="1:23" ht="14.65" thickBot="1" x14ac:dyDescent="0.5">
      <c r="A35" s="4"/>
      <c r="B35" s="129" t="s">
        <v>190</v>
      </c>
      <c r="C35" s="116">
        <v>0</v>
      </c>
      <c r="D35" s="4">
        <f>IF($C$28&lt;=450,Datos!E114,"")</f>
        <v>141.27000000000001</v>
      </c>
      <c r="E35" s="4"/>
      <c r="F35" s="4"/>
      <c r="G35" s="4"/>
      <c r="H35" s="4"/>
      <c r="I35" s="4"/>
      <c r="J35" s="74" t="s">
        <v>167</v>
      </c>
      <c r="K35" s="75"/>
      <c r="L35" s="76"/>
      <c r="O35" s="4" t="s">
        <v>178</v>
      </c>
      <c r="P35" s="4">
        <v>2700</v>
      </c>
      <c r="Q35" s="4">
        <f>Q34+P35</f>
        <v>5100</v>
      </c>
      <c r="R35" s="4"/>
      <c r="S35" s="4"/>
      <c r="T35" s="4"/>
      <c r="U35" s="4"/>
      <c r="V35" s="4"/>
      <c r="W35" s="4"/>
    </row>
    <row r="36" spans="1:23" ht="14.65" thickBot="1" x14ac:dyDescent="0.5">
      <c r="A36" s="4" t="s">
        <v>159</v>
      </c>
      <c r="B36" s="41" t="s">
        <v>174</v>
      </c>
      <c r="C36" s="18">
        <v>0</v>
      </c>
      <c r="D36" s="4">
        <f>IF($C$28&lt;=450,Datos!E115,"")</f>
        <v>158.94</v>
      </c>
      <c r="E36" s="4"/>
      <c r="F36" s="4"/>
      <c r="G36" s="4"/>
      <c r="H36" s="4"/>
      <c r="I36" s="4"/>
      <c r="J36" s="36" t="s">
        <v>168</v>
      </c>
      <c r="K36" s="37"/>
      <c r="L36" s="70">
        <f>L4*12+M4*2</f>
        <v>39055.879999999997</v>
      </c>
      <c r="O36" s="4" t="s">
        <v>179</v>
      </c>
      <c r="P36" s="4">
        <v>4000</v>
      </c>
      <c r="Q36" s="4">
        <f>Q35+P36</f>
        <v>9100</v>
      </c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160</v>
      </c>
      <c r="B37" s="129" t="s">
        <v>173</v>
      </c>
      <c r="C37" s="18">
        <v>0</v>
      </c>
      <c r="D37" s="4">
        <f>IF($C$28&lt;=1000050,Datos!E116,"")</f>
        <v>176.59</v>
      </c>
      <c r="E37" s="4"/>
      <c r="F37" s="4"/>
      <c r="G37" s="4"/>
      <c r="H37" s="4"/>
      <c r="I37" s="4"/>
      <c r="J37" s="7" t="s">
        <v>259</v>
      </c>
      <c r="K37" s="8"/>
      <c r="L37" s="9">
        <f>IF(AND(C48="Sí",L36&lt;33007.2),TRUNC(L36*0.02),0)</f>
        <v>0</v>
      </c>
      <c r="M37" s="22"/>
      <c r="N37" s="22"/>
      <c r="O37" s="4" t="s">
        <v>180</v>
      </c>
      <c r="P37" s="4">
        <v>4500</v>
      </c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161</v>
      </c>
      <c r="B38" s="131" t="s">
        <v>196</v>
      </c>
      <c r="C38" s="18" t="s">
        <v>138</v>
      </c>
      <c r="D38" s="4" t="str">
        <f>IF(B70=A69,"Sí","No")</f>
        <v>Sí</v>
      </c>
      <c r="E38" s="4"/>
      <c r="F38" s="4"/>
      <c r="G38" s="4"/>
      <c r="H38" s="4"/>
      <c r="I38" s="4"/>
      <c r="J38" s="7" t="s">
        <v>265</v>
      </c>
      <c r="K38" s="8"/>
      <c r="L38" s="9">
        <f>IF(L36-L39&lt;14582,7302,IF(L36-L39&lt;17673.52,7302-(1.75*(L36-L39-14852)),IF(L36-L39&lt;19747.5,2364.34-(1.14*(L36-L39-17673.52)),0)))</f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182</v>
      </c>
      <c r="B39" s="129" t="s">
        <v>181</v>
      </c>
      <c r="C39" s="18" t="s">
        <v>182</v>
      </c>
      <c r="D39" s="4"/>
      <c r="E39" s="4"/>
      <c r="F39" s="4"/>
      <c r="G39" s="4"/>
      <c r="H39" s="4"/>
      <c r="I39" s="4"/>
      <c r="J39" s="36" t="s">
        <v>236</v>
      </c>
      <c r="K39" s="37"/>
      <c r="L39" s="70">
        <f>SUM(L28:L31)*14+SUM(M28:M31)*2</f>
        <v>2948.0680086666662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184</v>
      </c>
      <c r="B40" s="131" t="s">
        <v>189</v>
      </c>
      <c r="C40" s="18" t="s">
        <v>138</v>
      </c>
      <c r="D40" s="4"/>
      <c r="E40" s="4"/>
      <c r="F40" s="4"/>
      <c r="G40" s="4"/>
      <c r="H40" s="4"/>
      <c r="I40" s="4"/>
      <c r="J40" s="36" t="s">
        <v>241</v>
      </c>
      <c r="K40" s="37"/>
      <c r="L40" s="70">
        <f>C34+2000+M41</f>
        <v>2000</v>
      </c>
      <c r="M40" s="4"/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thickBot="1" x14ac:dyDescent="0.5">
      <c r="A41" s="4" t="s">
        <v>183</v>
      </c>
      <c r="B41" s="129" t="s">
        <v>192</v>
      </c>
      <c r="C41" s="18">
        <v>0</v>
      </c>
      <c r="D41" s="4"/>
      <c r="E41" s="4"/>
      <c r="F41" s="4"/>
      <c r="G41" s="4"/>
      <c r="H41" s="4"/>
      <c r="I41" s="4"/>
      <c r="J41" s="36" t="s">
        <v>170</v>
      </c>
      <c r="K41" s="37"/>
      <c r="L41" s="70">
        <f>IF(C33="Sí",1150+5550,5550)</f>
        <v>5550</v>
      </c>
      <c r="M41" s="4">
        <f>IF(AND(C39=A42,C40="No"),3500,IF(OR(C39=A41,C39=A42),7750,0))</f>
        <v>0</v>
      </c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 t="s">
        <v>185</v>
      </c>
      <c r="B42" s="173" t="s">
        <v>207</v>
      </c>
      <c r="C42" s="175">
        <v>0</v>
      </c>
      <c r="D42" s="4"/>
      <c r="E42" s="4"/>
      <c r="F42" s="4"/>
      <c r="G42" s="4"/>
      <c r="H42" s="4"/>
      <c r="I42" s="4"/>
      <c r="J42" s="36" t="s">
        <v>172</v>
      </c>
      <c r="K42" s="37"/>
      <c r="L42" s="70">
        <f>SUM(C71:C74)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x14ac:dyDescent="0.45">
      <c r="A43" s="4"/>
      <c r="B43" s="173"/>
      <c r="C43" s="176"/>
      <c r="D43" s="4"/>
      <c r="E43" s="4"/>
      <c r="F43" s="4"/>
      <c r="G43" s="4"/>
      <c r="H43" s="4"/>
      <c r="I43" s="4"/>
      <c r="J43" s="36" t="s">
        <v>175</v>
      </c>
      <c r="K43" s="37"/>
      <c r="L43" s="70">
        <f>IF(C38="no",M49/2+1400*C37,M49+2800*C37)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thickBot="1" x14ac:dyDescent="0.5">
      <c r="A44" s="4"/>
      <c r="B44" s="174"/>
      <c r="C44" s="177"/>
      <c r="D44" s="4"/>
      <c r="E44" s="4"/>
      <c r="F44" s="4"/>
      <c r="G44" s="4"/>
      <c r="H44" s="4"/>
      <c r="I44" s="4"/>
      <c r="J44" s="36" t="s">
        <v>186</v>
      </c>
      <c r="K44" s="37"/>
      <c r="L44" s="70">
        <f>IF(C39=A41,9000,IF(C39=A42,3000,0))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8" t="s">
        <v>207</v>
      </c>
      <c r="C45" s="175">
        <v>0</v>
      </c>
      <c r="D45" s="4"/>
      <c r="E45" s="4"/>
      <c r="F45" s="4"/>
      <c r="G45" s="4"/>
      <c r="H45" s="4"/>
      <c r="I45" s="4"/>
      <c r="J45" s="36" t="s">
        <v>187</v>
      </c>
      <c r="K45" s="37"/>
      <c r="L45" s="70">
        <f>SUM(C75:C78)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x14ac:dyDescent="0.45">
      <c r="A46" s="4"/>
      <c r="B46" s="173"/>
      <c r="C46" s="176"/>
      <c r="D46" s="4"/>
      <c r="E46" s="4"/>
      <c r="F46" s="4"/>
      <c r="G46" s="4"/>
      <c r="H46" s="4"/>
      <c r="I46" s="4"/>
      <c r="J46" s="36" t="s">
        <v>188</v>
      </c>
      <c r="K46" s="37"/>
      <c r="L46" s="70">
        <f>IF(C38="Sí",M51,M51/2)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4"/>
      <c r="B47" s="174"/>
      <c r="C47" s="177"/>
      <c r="D47" s="4"/>
      <c r="E47" s="4"/>
      <c r="F47" s="4"/>
      <c r="G47" s="4"/>
      <c r="H47" s="4"/>
      <c r="I47" s="4"/>
      <c r="J47" s="36" t="s">
        <v>206</v>
      </c>
      <c r="K47" s="37"/>
      <c r="L47" s="70">
        <f>IF(OR(C40="Sí",C39=A41),3000,0)</f>
        <v>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267</v>
      </c>
      <c r="C48" s="18" t="s">
        <v>138</v>
      </c>
      <c r="D48" s="4"/>
      <c r="E48" s="4"/>
      <c r="F48" s="4"/>
      <c r="G48" s="4"/>
      <c r="H48" s="4"/>
      <c r="I48" s="4"/>
      <c r="J48" s="7" t="s">
        <v>208</v>
      </c>
      <c r="K48" s="8"/>
      <c r="L48" s="9">
        <f>SUM(L41:L47)</f>
        <v>5550</v>
      </c>
      <c r="M48" s="4"/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129" t="s">
        <v>260</v>
      </c>
      <c r="C49" s="117"/>
      <c r="D49" s="4"/>
      <c r="E49" s="4"/>
      <c r="F49" s="4"/>
      <c r="G49" s="4"/>
      <c r="H49" s="4"/>
      <c r="I49" s="4"/>
      <c r="J49" s="7" t="s">
        <v>209</v>
      </c>
      <c r="K49" s="8"/>
      <c r="L49" s="9">
        <f>MAX(0,L36-L39-L40-L38)</f>
        <v>34107.811991333328</v>
      </c>
      <c r="M49" s="4">
        <f>IF(C36=1,Q34,IF(C36=2,Q35,IF(C36=3,Q36,IF(C36&lt;1,0,Q36+4500*(C36-3)))))</f>
        <v>0</v>
      </c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193</v>
      </c>
      <c r="C50" s="109"/>
      <c r="D50" s="4"/>
      <c r="E50" s="4"/>
      <c r="F50" s="4"/>
      <c r="G50" s="4"/>
      <c r="H50" s="4"/>
      <c r="I50" s="4"/>
      <c r="J50" s="7" t="s">
        <v>210</v>
      </c>
      <c r="K50" s="8"/>
      <c r="L50" s="9">
        <f>IF(L48&gt;12450,0,MAX(0,MIN(12450,L49)-L48))</f>
        <v>6900</v>
      </c>
      <c r="M50" s="4"/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194</v>
      </c>
      <c r="C51" s="109" t="s">
        <v>182</v>
      </c>
      <c r="D51" s="4"/>
      <c r="E51" s="4"/>
      <c r="F51" s="4"/>
      <c r="G51" s="4"/>
      <c r="H51" s="4"/>
      <c r="I51" s="4"/>
      <c r="J51" s="7" t="s">
        <v>211</v>
      </c>
      <c r="K51" s="8"/>
      <c r="L51" s="9">
        <f>IF(IF(L48&gt;20200,0,IF(L49&gt;20200,MIN(20200-L48,20200-12450),MIN(L49-L48,L49-12450)))&lt;0,0,IF(L48&gt;20200,0,IF(L49&gt;20200,MIN(20200-L48,20200-12450),MIN(L49-L48,L49-12450))))</f>
        <v>7750</v>
      </c>
      <c r="M51" s="4">
        <f>C41*12000+C42*6000+C45*3000</f>
        <v>0</v>
      </c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22"/>
      <c r="B52" s="25" t="s">
        <v>201</v>
      </c>
      <c r="C52" s="18" t="s">
        <v>138</v>
      </c>
      <c r="D52" s="4"/>
      <c r="E52" s="4"/>
      <c r="F52" s="4"/>
      <c r="G52" s="4"/>
      <c r="H52" s="4"/>
      <c r="I52" s="4"/>
      <c r="J52" s="7" t="s">
        <v>212</v>
      </c>
      <c r="K52" s="8"/>
      <c r="L52" s="9">
        <f>IF(IF(L48&gt;35200,0,IF(L49&gt;35200,MIN(35200-L48,35200-20200),MIN(L49-L48,L49-20200)))&lt;0,0,IF(L48&gt;35200,0,IF(L49&gt;35200,MIN(35200-L48,35200-20200),MIN(L49-L48,L49-20200))))</f>
        <v>13907.811991333328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26" t="s">
        <v>195</v>
      </c>
      <c r="C53" s="109"/>
      <c r="D53" s="4"/>
      <c r="E53" s="4"/>
      <c r="F53" s="4"/>
      <c r="G53" s="4"/>
      <c r="H53" s="4"/>
      <c r="I53" s="4"/>
      <c r="J53" s="7" t="s">
        <v>213</v>
      </c>
      <c r="K53" s="8"/>
      <c r="L53" s="9">
        <f>IF(IF(L48&gt;60000,0,IF(L49&gt;60000,MIN(35200-L48,60000-35200),MIN(L49-L48,L49-35200)))&lt;0,0,IF(L48&gt;60000,0,IF(L49&gt;60000,MIN(35200-L48,60000-35200),MIN(L49-L48,L49-35200))))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129" t="s">
        <v>261</v>
      </c>
      <c r="C54" s="117"/>
      <c r="H54" s="4"/>
      <c r="I54" s="4"/>
      <c r="J54" s="7" t="s">
        <v>214</v>
      </c>
      <c r="K54" s="8"/>
      <c r="L54" s="9">
        <f>IF(IF(L48&gt;30000,0,IF(L49&gt;300000,MIN(60000-L48,300000-60000),MIN(L49-L48,L49-60000)))&lt;0,0,IF(L48&gt;30000,0,IF(L49&gt;300000,MIN(60000-L48,300000-60000),MIN(L49-L48,L49-60000))))</f>
        <v>0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193</v>
      </c>
      <c r="C55" s="109"/>
      <c r="H55" s="4"/>
      <c r="I55" s="4"/>
      <c r="J55" s="7" t="s">
        <v>215</v>
      </c>
      <c r="K55" s="8"/>
      <c r="L55" s="9">
        <f>ROUND(L50*0.19,2)</f>
        <v>1311</v>
      </c>
      <c r="M55" s="4"/>
      <c r="N55" s="4"/>
      <c r="O55" s="22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194</v>
      </c>
      <c r="C56" s="109" t="s">
        <v>182</v>
      </c>
      <c r="G56" s="4"/>
      <c r="H56" s="4"/>
      <c r="I56" s="4"/>
      <c r="J56" s="7" t="s">
        <v>216</v>
      </c>
      <c r="K56" s="8"/>
      <c r="L56" s="9">
        <f>ROUND(L51*0.24,2)</f>
        <v>1860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5" t="s">
        <v>201</v>
      </c>
      <c r="C57" s="18" t="s">
        <v>137</v>
      </c>
      <c r="G57" s="4"/>
      <c r="H57" s="4"/>
      <c r="I57" s="4"/>
      <c r="J57" s="7" t="s">
        <v>217</v>
      </c>
      <c r="K57" s="8"/>
      <c r="L57" s="9">
        <f>ROUND(L52*0.3,2)</f>
        <v>4172.34</v>
      </c>
      <c r="M57" s="4"/>
      <c r="N57" s="4"/>
      <c r="P57" s="4"/>
      <c r="Q57" s="4"/>
      <c r="R57" s="4"/>
      <c r="S57" s="4"/>
      <c r="T57" s="4"/>
      <c r="U57" s="4"/>
      <c r="V57" s="4"/>
      <c r="W57" s="4"/>
    </row>
    <row r="58" spans="1:23" ht="14.75" customHeight="1" thickBot="1" x14ac:dyDescent="0.5">
      <c r="A58" s="4"/>
      <c r="B58" s="26" t="s">
        <v>195</v>
      </c>
      <c r="C58" s="109"/>
      <c r="G58" s="4"/>
      <c r="H58" s="4"/>
      <c r="I58" s="4"/>
      <c r="J58" s="7" t="s">
        <v>218</v>
      </c>
      <c r="K58" s="8"/>
      <c r="L58" s="9">
        <f>ROUND(L53*0.37,2)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129" t="s">
        <v>262</v>
      </c>
      <c r="C59" s="117"/>
      <c r="G59" s="4"/>
      <c r="H59" s="4"/>
      <c r="I59" s="4"/>
      <c r="J59" s="7" t="s">
        <v>219</v>
      </c>
      <c r="K59" s="8"/>
      <c r="L59" s="9">
        <f>ROUND(L54*0.45,2)</f>
        <v>0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193</v>
      </c>
      <c r="C60" s="109"/>
      <c r="G60" s="4"/>
      <c r="H60" s="4"/>
      <c r="I60" s="4"/>
      <c r="J60" s="7" t="s">
        <v>266</v>
      </c>
      <c r="K60" s="8"/>
      <c r="L60" s="49">
        <f>SUM(L55:L59)</f>
        <v>7343.34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5" t="s">
        <v>194</v>
      </c>
      <c r="C61" s="109" t="s">
        <v>182</v>
      </c>
      <c r="G61" s="4"/>
      <c r="H61" s="4"/>
      <c r="I61" s="4"/>
      <c r="J61" s="7" t="s">
        <v>264</v>
      </c>
      <c r="K61" s="8"/>
      <c r="L61" s="49">
        <f>MAX(0,C130-L37)</f>
        <v>7343.3435973999985</v>
      </c>
      <c r="P61" s="4"/>
      <c r="Q61" s="4"/>
      <c r="R61" s="4"/>
      <c r="S61" s="4"/>
      <c r="T61" s="4"/>
      <c r="U61" s="4"/>
      <c r="V61" s="4"/>
      <c r="W61" s="4"/>
    </row>
    <row r="62" spans="1:23" ht="14.65" thickBot="1" x14ac:dyDescent="0.5">
      <c r="A62" s="4"/>
      <c r="B62" s="27" t="s">
        <v>201</v>
      </c>
      <c r="C62" s="18" t="s">
        <v>138</v>
      </c>
      <c r="G62" s="4"/>
      <c r="H62" s="4"/>
      <c r="I62" s="4"/>
      <c r="J62" s="80" t="s">
        <v>220</v>
      </c>
      <c r="K62" s="81"/>
      <c r="L62" s="82">
        <f>IF(M62&lt;0.02,0.02,M62)</f>
        <v>0.18802136835733826</v>
      </c>
      <c r="M62" s="4">
        <f>IF(L61&lt;L60,L61/L36,L60/L36)</f>
        <v>0.18802136835733826</v>
      </c>
    </row>
    <row r="63" spans="1:23" ht="14.65" thickBot="1" x14ac:dyDescent="0.5">
      <c r="A63" s="4"/>
      <c r="B63" s="26" t="s">
        <v>195</v>
      </c>
      <c r="C63" s="109">
        <v>1</v>
      </c>
      <c r="G63" s="4"/>
      <c r="H63" s="4"/>
      <c r="I63" s="4"/>
    </row>
    <row r="64" spans="1:23" ht="14.65" thickBot="1" x14ac:dyDescent="0.5">
      <c r="A64" s="4"/>
      <c r="B64" s="129" t="s">
        <v>263</v>
      </c>
      <c r="C64" s="117"/>
      <c r="G64" s="4"/>
      <c r="H64" s="4"/>
      <c r="I64" s="4"/>
      <c r="J64" s="74" t="s">
        <v>222</v>
      </c>
      <c r="K64" s="77"/>
      <c r="L64" s="78"/>
    </row>
    <row r="65" spans="1:12" ht="14.65" thickBot="1" x14ac:dyDescent="0.5">
      <c r="A65" s="4"/>
      <c r="B65" s="25" t="s">
        <v>193</v>
      </c>
      <c r="C65" s="109"/>
      <c r="G65" s="4"/>
      <c r="H65" s="4"/>
      <c r="I65" s="4"/>
      <c r="J65" s="7" t="s">
        <v>224</v>
      </c>
      <c r="L65" s="71">
        <v>4.7E-2</v>
      </c>
    </row>
    <row r="66" spans="1:12" ht="14.65" thickBot="1" x14ac:dyDescent="0.5">
      <c r="A66" s="4"/>
      <c r="B66" s="25" t="s">
        <v>194</v>
      </c>
      <c r="C66" s="109" t="s">
        <v>182</v>
      </c>
      <c r="G66" s="4"/>
      <c r="H66" s="4"/>
      <c r="I66" s="4"/>
      <c r="J66" s="7" t="s">
        <v>225</v>
      </c>
      <c r="L66" s="71">
        <v>1.1999999999999999E-3</v>
      </c>
    </row>
    <row r="67" spans="1:12" ht="14.65" thickBot="1" x14ac:dyDescent="0.5">
      <c r="A67" s="4"/>
      <c r="B67" s="27" t="s">
        <v>201</v>
      </c>
      <c r="C67" s="18" t="s">
        <v>138</v>
      </c>
      <c r="G67" s="4"/>
      <c r="H67" s="4"/>
      <c r="I67" s="4"/>
      <c r="J67" s="7" t="s">
        <v>230</v>
      </c>
      <c r="L67" s="71">
        <v>0.28299999999999997</v>
      </c>
    </row>
    <row r="68" spans="1:12" ht="14.65" thickBot="1" x14ac:dyDescent="0.5">
      <c r="A68" s="4"/>
      <c r="B68" s="27" t="s">
        <v>195</v>
      </c>
      <c r="C68" s="109"/>
      <c r="G68" s="4"/>
      <c r="H68" s="4"/>
      <c r="I68" s="4"/>
      <c r="J68" s="7" t="s">
        <v>229</v>
      </c>
      <c r="L68" s="40">
        <v>1.0999999999999999E-2</v>
      </c>
    </row>
    <row r="69" spans="1:12" ht="14.65" thickBot="1" x14ac:dyDescent="0.5">
      <c r="A69" s="30" t="s">
        <v>240</v>
      </c>
      <c r="B69" s="41" t="s">
        <v>237</v>
      </c>
      <c r="C69" s="69">
        <f>IF(B70=A69,1,IF(B70=A70,2,IF(B70=A71,3,0)))</f>
        <v>1</v>
      </c>
      <c r="G69" s="4"/>
      <c r="H69" s="4"/>
      <c r="I69" s="4"/>
      <c r="J69" s="80" t="s">
        <v>228</v>
      </c>
      <c r="K69" s="81"/>
      <c r="L69" s="83">
        <f>L65+L66-ROUND((L67*L68),4)</f>
        <v>4.5100000000000001E-2</v>
      </c>
    </row>
    <row r="70" spans="1:12" ht="42" customHeight="1" thickBot="1" x14ac:dyDescent="0.5">
      <c r="A70" s="30" t="s">
        <v>238</v>
      </c>
      <c r="B70" s="161" t="s">
        <v>240</v>
      </c>
      <c r="C70" s="162"/>
      <c r="G70" s="4"/>
      <c r="H70" s="4"/>
      <c r="I70" s="4"/>
    </row>
    <row r="71" spans="1:12" x14ac:dyDescent="0.45">
      <c r="A71" s="30" t="s">
        <v>239</v>
      </c>
      <c r="B71" s="4" t="s">
        <v>197</v>
      </c>
      <c r="C71" s="4">
        <f>IF(C50&gt;=75,ROUND((1150+1400)/C53,2),IF(C50&gt;=65,ROUND(1150/C53,2),0))</f>
        <v>0</v>
      </c>
      <c r="G71" s="4"/>
      <c r="H71" s="4"/>
      <c r="I71" s="4"/>
      <c r="J71" s="74" t="s">
        <v>223</v>
      </c>
      <c r="K71" s="77"/>
      <c r="L71" s="78"/>
    </row>
    <row r="72" spans="1:12" x14ac:dyDescent="0.45">
      <c r="A72" s="4"/>
      <c r="B72" s="4" t="s">
        <v>198</v>
      </c>
      <c r="C72" s="4">
        <f>IF(C55&gt;=75,ROUND((1150+1400)/C58,2),IF(C55&gt;=65,ROUND(1150/C58,2),0))</f>
        <v>0</v>
      </c>
      <c r="D72" s="4"/>
      <c r="E72" s="4"/>
      <c r="F72" s="4"/>
      <c r="G72" s="4"/>
      <c r="H72" s="4"/>
      <c r="I72" s="4"/>
      <c r="J72" s="7" t="s">
        <v>224</v>
      </c>
      <c r="L72" s="71">
        <v>4.7E-2</v>
      </c>
    </row>
    <row r="73" spans="1:12" x14ac:dyDescent="0.45">
      <c r="A73" s="4"/>
      <c r="B73" s="4" t="s">
        <v>199</v>
      </c>
      <c r="C73" s="4">
        <f>IF(C60&gt;=75,ROUND((1150+1400)/C63,2),IF(C60&gt;=65,ROUND(1150/C63,2),0))</f>
        <v>0</v>
      </c>
      <c r="D73" s="4"/>
      <c r="E73" s="4"/>
      <c r="F73" s="4"/>
      <c r="G73" s="4"/>
      <c r="H73" s="4"/>
      <c r="I73" s="4"/>
      <c r="J73" s="7" t="s">
        <v>225</v>
      </c>
      <c r="L73" s="71">
        <v>1.1999999999999999E-3</v>
      </c>
    </row>
    <row r="74" spans="1:12" x14ac:dyDescent="0.45">
      <c r="A74" s="4"/>
      <c r="B74" s="4" t="s">
        <v>200</v>
      </c>
      <c r="C74" s="4">
        <f>IF(C65&gt;=75,ROUND((1150+1400)/C68,2),IF(C65&gt;=65,ROUND(1150/C68,2),0))</f>
        <v>0</v>
      </c>
      <c r="D74" s="4"/>
      <c r="E74" s="4"/>
      <c r="F74" s="4"/>
      <c r="G74" s="4"/>
      <c r="H74" s="4"/>
      <c r="I74" s="4"/>
      <c r="J74" s="7" t="s">
        <v>226</v>
      </c>
      <c r="L74" s="71">
        <v>1.55E-2</v>
      </c>
    </row>
    <row r="75" spans="1:12" x14ac:dyDescent="0.45">
      <c r="B75" s="4" t="s">
        <v>202</v>
      </c>
      <c r="C75" s="4">
        <f>IF(C50&lt;65,0,IF(C51=A41,ROUND(12000/C53,2),IF(AND(C51=A42,C52="No"),ROUND(3000/C53,2),IF(AND(C51=A42,C52="Sí"),ROUND(6000/C53,2),""))))</f>
        <v>0</v>
      </c>
      <c r="D75" s="4"/>
      <c r="E75" s="4"/>
      <c r="F75" s="4"/>
      <c r="G75" s="4"/>
      <c r="H75" s="4"/>
      <c r="I75" s="4"/>
      <c r="J75" s="7" t="s">
        <v>227</v>
      </c>
      <c r="L75" s="71">
        <v>1E-3</v>
      </c>
    </row>
    <row r="76" spans="1:12" ht="14.65" thickBot="1" x14ac:dyDescent="0.5">
      <c r="B76" s="4" t="s">
        <v>203</v>
      </c>
      <c r="C76" s="4">
        <f>IF(C55&lt;65,0,IF(C56=A41,ROUND(12000/C58,2),IF(AND(C56=A42,C57="No"),ROUND(3000/C58,2),IF(AND(C56=A42,C57="Sí"),ROUND(6000/C58,2),""))))</f>
        <v>0</v>
      </c>
      <c r="D76" s="4"/>
      <c r="E76" s="4"/>
      <c r="F76" s="4"/>
      <c r="G76" s="4"/>
      <c r="H76" s="4"/>
      <c r="I76" s="4"/>
      <c r="J76" s="80" t="s">
        <v>228</v>
      </c>
      <c r="K76" s="81"/>
      <c r="L76" s="82">
        <f>SUM(L72:L75)</f>
        <v>6.4700000000000008E-2</v>
      </c>
    </row>
    <row r="77" spans="1:12" x14ac:dyDescent="0.45">
      <c r="B77" s="4" t="s">
        <v>204</v>
      </c>
      <c r="C77" s="4">
        <f>IF(C60&lt;65,0,IF(C61=A41,ROUND(12000/C63,2),IF(AND(C61=A42,C62="No"),ROUND(3000/C63,2),IF(AND(C61=A42,C62="Sí"),ROUND(6000/C63,2),""))))</f>
        <v>0</v>
      </c>
      <c r="D77" s="4"/>
      <c r="E77" s="4"/>
      <c r="F77" s="4"/>
      <c r="G77" s="4"/>
      <c r="H77" s="4"/>
      <c r="I77" s="4"/>
    </row>
    <row r="78" spans="1:12" x14ac:dyDescent="0.45">
      <c r="B78" s="4" t="s">
        <v>205</v>
      </c>
      <c r="C78" s="4">
        <f>IF(C65&lt;65,0,IF(C66=A41,ROUND(12000/C68,2),IF(AND(C66=A42,C67="No"),ROUND(3000/C68,2),IF(AND(C66=A42,C67="Sí"),ROUND(6000/C68,2),""))))</f>
        <v>0</v>
      </c>
      <c r="D78" s="4"/>
      <c r="E78" s="4"/>
      <c r="F78" s="4"/>
      <c r="G78" s="4"/>
      <c r="H78" s="4"/>
      <c r="I78" s="4"/>
    </row>
    <row r="79" spans="1:12" x14ac:dyDescent="0.45">
      <c r="B79" s="4"/>
      <c r="C79" s="4"/>
      <c r="I79" s="4"/>
    </row>
    <row r="80" spans="1:12" x14ac:dyDescent="0.45">
      <c r="B80" s="4" t="s">
        <v>242</v>
      </c>
      <c r="C80" s="4"/>
      <c r="I80" s="4"/>
    </row>
    <row r="81" spans="2:9" x14ac:dyDescent="0.45">
      <c r="B81" s="4" t="s">
        <v>243</v>
      </c>
      <c r="C81" s="33">
        <f>L49-C35</f>
        <v>34107.811991333328</v>
      </c>
      <c r="I81" s="4"/>
    </row>
    <row r="82" spans="2:9" x14ac:dyDescent="0.45">
      <c r="B82" s="4" t="s">
        <v>244</v>
      </c>
      <c r="C82" s="33">
        <f>C35</f>
        <v>0</v>
      </c>
      <c r="I82" s="4"/>
    </row>
    <row r="83" spans="2:9" x14ac:dyDescent="0.45">
      <c r="B83" s="4" t="s">
        <v>245</v>
      </c>
      <c r="C83" s="34">
        <f>MAX(B85:B90)</f>
        <v>8397.8435973999985</v>
      </c>
      <c r="I83" s="4"/>
    </row>
    <row r="84" spans="2:9" x14ac:dyDescent="0.45">
      <c r="B84" s="4" t="s">
        <v>247</v>
      </c>
      <c r="C84" s="4"/>
      <c r="I84" s="4"/>
    </row>
    <row r="85" spans="2:9" x14ac:dyDescent="0.45">
      <c r="B85" s="4" t="str">
        <f>IF(C81&lt;12450,0+(C81)*0.19,"")</f>
        <v/>
      </c>
      <c r="C85" s="4"/>
      <c r="I85" s="4"/>
    </row>
    <row r="86" spans="2:9" x14ac:dyDescent="0.45">
      <c r="B86" s="4" t="str">
        <f>IF(AND(C81&gt;=12450,C81&lt;20200),2365.5+(C81-12450)*0.24,"")</f>
        <v/>
      </c>
      <c r="C86" s="4"/>
      <c r="I86" s="4"/>
    </row>
    <row r="87" spans="2:9" x14ac:dyDescent="0.45">
      <c r="B87" s="4">
        <f>IF(AND(C81&gt;=20200,C81&lt;35200),4225.5+(C81-20200)*0.3,"")</f>
        <v>8397.8435973999985</v>
      </c>
      <c r="C87" s="4"/>
      <c r="I87" s="4"/>
    </row>
    <row r="88" spans="2:9" x14ac:dyDescent="0.45">
      <c r="B88" s="4" t="str">
        <f>IF(AND(C81&gt;=35200,C81&lt;60000),8725.5+(C81-35200)*0.37,"")</f>
        <v/>
      </c>
      <c r="C88" s="4"/>
      <c r="I88" s="4"/>
    </row>
    <row r="89" spans="2:9" x14ac:dyDescent="0.45">
      <c r="B89" s="4" t="str">
        <f>IF(AND(C81&gt;=60000,C81&lt;300000),17901.5+(C81-60000)*0.45,"")</f>
        <v/>
      </c>
      <c r="C89" s="4"/>
      <c r="I89" s="4"/>
    </row>
    <row r="90" spans="2:9" x14ac:dyDescent="0.45">
      <c r="B90" s="4" t="str">
        <f>IF(C81&gt;300000,125901.5+(C81-300000)*0.47,"")</f>
        <v/>
      </c>
      <c r="C90" s="4"/>
      <c r="I90" s="4"/>
    </row>
    <row r="91" spans="2:9" x14ac:dyDescent="0.45">
      <c r="B91" s="4" t="s">
        <v>246</v>
      </c>
      <c r="C91" s="34">
        <f>MAX(B92:B97)</f>
        <v>0</v>
      </c>
      <c r="I91" s="4"/>
    </row>
    <row r="92" spans="2:9" x14ac:dyDescent="0.45">
      <c r="B92" s="4">
        <f>IF(C82&lt;12450,0+(C82)*0.19,"")</f>
        <v>0</v>
      </c>
      <c r="C92" s="4"/>
      <c r="I92" s="4"/>
    </row>
    <row r="93" spans="2:9" x14ac:dyDescent="0.45">
      <c r="B93" s="4" t="str">
        <f>IF(AND(C82&gt;=12450,C82&lt;20200),2365.5+(C82-12450)*0.24,"")</f>
        <v/>
      </c>
      <c r="C93" s="4"/>
      <c r="I93" s="4"/>
    </row>
    <row r="94" spans="2:9" x14ac:dyDescent="0.45">
      <c r="B94" s="4" t="str">
        <f>IF(AND(C82&gt;=20200,C82&lt;35200),4225.5+(C82-20200)*0.3,"")</f>
        <v/>
      </c>
      <c r="C94" s="4"/>
      <c r="I94" s="4"/>
    </row>
    <row r="95" spans="2:9" x14ac:dyDescent="0.45">
      <c r="B95" s="4" t="str">
        <f>IF(AND(C82&gt;=35200,C82&lt;60000),8725.5+(C82-35200)*0.37,"")</f>
        <v/>
      </c>
      <c r="C95" s="4"/>
      <c r="I95" s="4"/>
    </row>
    <row r="96" spans="2:9" x14ac:dyDescent="0.45">
      <c r="B96" s="4" t="str">
        <f>IF(AND(C82&gt;=60000,C82&lt;300000),17901.5+(C82-60000)*0.45,"")</f>
        <v/>
      </c>
      <c r="C96" s="4"/>
    </row>
    <row r="97" spans="2:3" x14ac:dyDescent="0.45">
      <c r="B97" s="4" t="str">
        <f>IF(C82&gt;300000,125901.5+(C82-300000)*0.47,"")</f>
        <v/>
      </c>
      <c r="C97" s="4"/>
    </row>
    <row r="98" spans="2:3" x14ac:dyDescent="0.45">
      <c r="B98" s="4" t="s">
        <v>248</v>
      </c>
      <c r="C98" s="33">
        <f>IF(AND(C35&gt;0,L49-C35&gt;0),C91+C83,C108)</f>
        <v>8397.8435973999985</v>
      </c>
    </row>
    <row r="99" spans="2:3" x14ac:dyDescent="0.45">
      <c r="B99" s="4" t="s">
        <v>249</v>
      </c>
      <c r="C99" s="34">
        <f>IF(AND(C35&gt;0,L49-C35&gt;0),L48+1980,L48)</f>
        <v>5550</v>
      </c>
    </row>
    <row r="100" spans="2:3" x14ac:dyDescent="0.45">
      <c r="B100" s="4" t="s">
        <v>250</v>
      </c>
      <c r="C100" s="34">
        <f>MAX(B101:B106)</f>
        <v>1054.5</v>
      </c>
    </row>
    <row r="101" spans="2:3" x14ac:dyDescent="0.45">
      <c r="B101" s="4">
        <f>IF(C99&lt;12450,0+(C99)*0.19,"")</f>
        <v>1054.5</v>
      </c>
      <c r="C101" s="4"/>
    </row>
    <row r="102" spans="2:3" x14ac:dyDescent="0.45">
      <c r="B102" s="4" t="str">
        <f>IF(AND(C99&gt;=12450,C99&lt;20200),2365.5+(C99-12450)*0.24,"")</f>
        <v/>
      </c>
      <c r="C102" s="4"/>
    </row>
    <row r="103" spans="2:3" x14ac:dyDescent="0.45">
      <c r="B103" s="4" t="str">
        <f>IF(AND(C99&gt;=20200,C99&lt;35200),4225.5+(C99-20200)*0.3,"")</f>
        <v/>
      </c>
      <c r="C103" s="4"/>
    </row>
    <row r="104" spans="2:3" x14ac:dyDescent="0.45">
      <c r="B104" s="4" t="str">
        <f>IF(AND(C99&gt;=35200,C99&lt;60000),8725.5+(C99-35200)*0.37,"")</f>
        <v/>
      </c>
      <c r="C104" s="4"/>
    </row>
    <row r="105" spans="2:3" x14ac:dyDescent="0.45">
      <c r="B105" s="4" t="str">
        <f>IF(AND(C99&gt;=60000,C99&lt;300000),17901.5+(C99-60000)*0.45,"")</f>
        <v/>
      </c>
      <c r="C105" s="4"/>
    </row>
    <row r="106" spans="2:3" x14ac:dyDescent="0.45">
      <c r="B106" s="4" t="str">
        <f>IF(C99&gt;300000,125901.5+(C99-300000)*0.47,"")</f>
        <v/>
      </c>
      <c r="C106" s="4"/>
    </row>
    <row r="107" spans="2:3" x14ac:dyDescent="0.45">
      <c r="B107" s="4" t="s">
        <v>251</v>
      </c>
      <c r="C107" s="35">
        <f>IF(C98&gt;C100,C98-C100,L60)</f>
        <v>7343.3435973999985</v>
      </c>
    </row>
    <row r="108" spans="2:3" x14ac:dyDescent="0.45">
      <c r="B108" s="4" t="s">
        <v>252</v>
      </c>
      <c r="C108" s="34">
        <f>MAX(B109:B115)</f>
        <v>8397.8435973999985</v>
      </c>
    </row>
    <row r="109" spans="2:3" x14ac:dyDescent="0.45">
      <c r="B109" s="4" t="str">
        <f>IF(L49&lt;12450,0+(L49)*0.19,"")</f>
        <v/>
      </c>
      <c r="C109" s="4"/>
    </row>
    <row r="110" spans="2:3" x14ac:dyDescent="0.45">
      <c r="B110" s="4" t="str">
        <f>IF(AND(L49&gt;=12450,L49&lt;20200),2365.5+(L49-12450)*0.24,"")</f>
        <v/>
      </c>
      <c r="C110" s="4"/>
    </row>
    <row r="111" spans="2:3" x14ac:dyDescent="0.45">
      <c r="B111" s="4">
        <f>IF(AND(L49&gt;=20200,L49&lt;35200),4225.5+(L49-20200)*0.3,"")</f>
        <v>8397.8435973999985</v>
      </c>
      <c r="C111" s="4"/>
    </row>
    <row r="112" spans="2:3" x14ac:dyDescent="0.45">
      <c r="B112" s="4" t="str">
        <f>IF(AND(L49&gt;=35200,L49&lt;60000),8725.5+(L49-35200)*0.37,"")</f>
        <v/>
      </c>
      <c r="C112" s="4"/>
    </row>
    <row r="113" spans="2:3" x14ac:dyDescent="0.45">
      <c r="B113" s="4" t="str">
        <f>IF(AND(L49&gt;=60000,L49&lt;300000),17901.5+(L49-60000)*0.45,"")</f>
        <v/>
      </c>
      <c r="C113" s="4"/>
    </row>
    <row r="114" spans="2:3" x14ac:dyDescent="0.45">
      <c r="B114" s="4" t="str">
        <f>IF(L49&gt;300000,125901.5+(L49-300000)*0.47,"")</f>
        <v/>
      </c>
      <c r="C114" s="4"/>
    </row>
    <row r="115" spans="2:3" x14ac:dyDescent="0.45">
      <c r="B115" s="4"/>
      <c r="C115" s="4"/>
    </row>
    <row r="116" spans="2:3" x14ac:dyDescent="0.45">
      <c r="B116" s="4"/>
      <c r="C116" s="4"/>
    </row>
    <row r="117" spans="2:3" x14ac:dyDescent="0.45">
      <c r="B117" s="4" t="s">
        <v>253</v>
      </c>
      <c r="C117" s="4"/>
    </row>
    <row r="118" spans="2:3" x14ac:dyDescent="0.45">
      <c r="B118" s="4" t="s">
        <v>255</v>
      </c>
      <c r="C118" s="4"/>
    </row>
    <row r="119" spans="2:3" x14ac:dyDescent="0.45">
      <c r="B119" s="4" t="s">
        <v>254</v>
      </c>
      <c r="C119" s="4"/>
    </row>
    <row r="120" spans="2:3" x14ac:dyDescent="0.45">
      <c r="B120" s="4">
        <f>IF(AND(L36&lt;=35200,C69=1,C36=1),(L36-(17270+C119+C120))*0.43,0)</f>
        <v>0</v>
      </c>
      <c r="C120" s="4"/>
    </row>
    <row r="121" spans="2:3" x14ac:dyDescent="0.45">
      <c r="B121" s="4">
        <f>IF(AND(L36&lt;=35200,C69=1,C36&gt;1),(L36-(18617+C119+C120))*0.43,0)</f>
        <v>0</v>
      </c>
      <c r="C121" s="4"/>
    </row>
    <row r="122" spans="2:3" x14ac:dyDescent="0.45">
      <c r="B122" s="4">
        <f>IF(AND(L36&lt;=35200,C69=2,C36=0),(L36-(16696+C119+C120))*0.43,0)</f>
        <v>0</v>
      </c>
      <c r="C122" s="4"/>
    </row>
    <row r="123" spans="2:3" x14ac:dyDescent="0.45">
      <c r="B123" s="4">
        <f>IF(AND(L36&lt;=35200,C69=2,C36=1),(L36-(17894+C119+C120))*0.43,0)</f>
        <v>0</v>
      </c>
      <c r="C123" s="4"/>
    </row>
    <row r="124" spans="2:3" x14ac:dyDescent="0.45">
      <c r="B124" s="4">
        <f>IF(AND(L36&lt;=35200,C69=2,C36&gt;1),(L36-(19241+C119+C120))*0.43,0)</f>
        <v>0</v>
      </c>
      <c r="C124" s="4"/>
    </row>
    <row r="125" spans="2:3" x14ac:dyDescent="0.45">
      <c r="B125" s="4">
        <f>IF(AND(L36&lt;=35200,C69=3,C36=0),(L36-(15000+C119+C120))*0.43,0)</f>
        <v>0</v>
      </c>
      <c r="C125" s="4"/>
    </row>
    <row r="126" spans="2:3" x14ac:dyDescent="0.45">
      <c r="B126" s="4">
        <f>IF(AND(L36&lt;=35200,C69=3,C36=1),(L36-(15599+C119+C120))*0.43,0)</f>
        <v>0</v>
      </c>
      <c r="C126" s="4"/>
    </row>
    <row r="127" spans="2:3" x14ac:dyDescent="0.45">
      <c r="B127" s="4">
        <f>IF(AND(L36&lt;=35200,C69=3,C36&gt;1),(L36-(16272+C119+C120))*0.43,0)</f>
        <v>0</v>
      </c>
      <c r="C127" s="4"/>
    </row>
    <row r="128" spans="2:3" x14ac:dyDescent="0.45">
      <c r="B128" s="4" t="s">
        <v>257</v>
      </c>
      <c r="C128" s="4" t="str">
        <f>IF(MAX(B120:B127)&gt;0,"Sí","No")</f>
        <v>No</v>
      </c>
    </row>
    <row r="129" spans="2:3" x14ac:dyDescent="0.45">
      <c r="B129" s="4" t="s">
        <v>258</v>
      </c>
      <c r="C129" s="4">
        <f>MAX(B120:B127)</f>
        <v>0</v>
      </c>
    </row>
    <row r="130" spans="2:3" x14ac:dyDescent="0.45">
      <c r="B130" s="4" t="s">
        <v>256</v>
      </c>
      <c r="C130" s="35">
        <f>IF(C128="No",C107,IF(C107&gt;C129,C129,C107))</f>
        <v>7343.3435973999985</v>
      </c>
    </row>
    <row r="131" spans="2:3" x14ac:dyDescent="0.45">
      <c r="B131" s="4"/>
      <c r="C131" s="4"/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  <row r="138" spans="2:3" x14ac:dyDescent="0.45">
      <c r="B138" s="4"/>
      <c r="C138" s="4"/>
    </row>
  </sheetData>
  <sheetProtection algorithmName="SHA-512" hashValue="iZ6owFp8AdNPH6Q7hejrA0yLE4uuvjaYhQiWvilAbDSpO5I3Q5/sADjY6bUD5vMOv+lgUOpesJl1+cm8m0a/EA==" saltValue="ka1LL3qiHjCv2Z+Y9i07+w==" spinCount="100000" sheet="1" objects="1" scenarios="1"/>
  <mergeCells count="13">
    <mergeCell ref="J2:K2"/>
    <mergeCell ref="M4:M5"/>
    <mergeCell ref="B29:C29"/>
    <mergeCell ref="B70:C70"/>
    <mergeCell ref="B3:C3"/>
    <mergeCell ref="J3:K3"/>
    <mergeCell ref="J4:K5"/>
    <mergeCell ref="L4:L5"/>
    <mergeCell ref="B32:C32"/>
    <mergeCell ref="B42:B44"/>
    <mergeCell ref="C42:C44"/>
    <mergeCell ref="B45:B47"/>
    <mergeCell ref="C45:C47"/>
  </mergeCells>
  <dataValidations count="18">
    <dataValidation type="list" allowBlank="1" showInputMessage="1" showErrorMessage="1" sqref="C11" xr:uid="{00000000-0002-0000-0C00-000000000000}">
      <formula1>$D$5:$D$6</formula1>
    </dataValidation>
    <dataValidation type="whole" allowBlank="1" showInputMessage="1" showErrorMessage="1" sqref="C6:C10" xr:uid="{00000000-0002-0000-0C00-000001000000}">
      <formula1>0</formula1>
      <formula2>14</formula2>
    </dataValidation>
    <dataValidation type="whole" allowBlank="1" showInputMessage="1" showErrorMessage="1" sqref="C12" xr:uid="{00000000-0002-0000-0C00-000002000000}">
      <formula1>0</formula1>
      <formula2>5</formula2>
    </dataValidation>
    <dataValidation type="decimal" allowBlank="1" showInputMessage="1" showErrorMessage="1" sqref="C4:C5" xr:uid="{00000000-0002-0000-0C00-000003000000}">
      <formula1>0</formula1>
      <formula2>100</formula2>
    </dataValidation>
    <dataValidation type="list" allowBlank="1" showInputMessage="1" showErrorMessage="1" sqref="C13" xr:uid="{00000000-0002-0000-0C00-000004000000}">
      <formula1>$D$13:$D$20</formula1>
    </dataValidation>
    <dataValidation type="list" allowBlank="1" showInputMessage="1" showErrorMessage="1" sqref="C14" xr:uid="{00000000-0002-0000-0C00-000005000000}">
      <formula1>$F$13:$F$18</formula1>
    </dataValidation>
    <dataValidation type="list" allowBlank="1" showInputMessage="1" showErrorMessage="1" sqref="C27 C48 C67 C62 C57 C52 C40 C38 C33 C15:C25" xr:uid="{00000000-0002-0000-0C00-000006000000}">
      <formula1>$H$13:$H$14</formula1>
    </dataValidation>
    <dataValidation type="whole" allowBlank="1" showInputMessage="1" showErrorMessage="1" sqref="C26" xr:uid="{00000000-0002-0000-0C00-000007000000}">
      <formula1>0</formula1>
      <formula2>30</formula2>
    </dataValidation>
    <dataValidation type="whole" allowBlank="1" showInputMessage="1" showErrorMessage="1" sqref="C28" xr:uid="{00000000-0002-0000-0C00-000008000000}">
      <formula1>0</formula1>
      <formula2>10000</formula2>
    </dataValidation>
    <dataValidation type="list" allowBlank="1" showInputMessage="1" showErrorMessage="1" sqref="C30" xr:uid="{00000000-0002-0000-0C00-00000A000000}">
      <formula1>$A$36:$A$38</formula1>
    </dataValidation>
    <dataValidation type="whole" allowBlank="1" showInputMessage="1" showErrorMessage="1" sqref="C36" xr:uid="{00000000-0002-0000-0C00-00000B000000}">
      <formula1>0</formula1>
      <formula2>100</formula2>
    </dataValidation>
    <dataValidation type="whole" allowBlank="1" showInputMessage="1" showErrorMessage="1" sqref="C37 C41:C42" xr:uid="{00000000-0002-0000-0C00-00000C000000}">
      <formula1>0</formula1>
      <formula2>C36</formula2>
    </dataValidation>
    <dataValidation type="whole" allowBlank="1" showInputMessage="1" showErrorMessage="1" sqref="C50 C55 C60 C65" xr:uid="{00000000-0002-0000-0C00-00000D000000}">
      <formula1>18</formula1>
      <formula2>130</formula2>
    </dataValidation>
    <dataValidation type="whole" allowBlank="1" showInputMessage="1" showErrorMessage="1" sqref="C53 C58 C63 C68" xr:uid="{00000000-0002-0000-0C00-00000E000000}">
      <formula1>0</formula1>
      <formula2>20</formula2>
    </dataValidation>
    <dataValidation type="whole" allowBlank="1" showInputMessage="1" showErrorMessage="1" sqref="C45" xr:uid="{00000000-0002-0000-0C00-00000F000000}">
      <formula1>0</formula1>
      <formula2>C41</formula2>
    </dataValidation>
    <dataValidation type="list" allowBlank="1" showInputMessage="1" showErrorMessage="1" sqref="C39 C66 C56 C51 C61" xr:uid="{00000000-0002-0000-0C00-000010000000}">
      <formula1>$A$39:$A$43</formula1>
    </dataValidation>
    <dataValidation type="list" allowBlank="1" showInputMessage="1" showErrorMessage="1" sqref="B70" xr:uid="{00000000-0002-0000-0C00-000011000000}">
      <formula1>$A$69:$A$71</formula1>
    </dataValidation>
    <dataValidation type="whole" allowBlank="1" showInputMessage="1" showErrorMessage="1" sqref="C31" xr:uid="{06F26699-7E74-4700-8B67-F33FED13B451}">
      <formula1>1980</formula1>
      <formula2>2024</formula2>
    </dataValidation>
  </dataValidations>
  <hyperlinks>
    <hyperlink ref="B2" location="Inicio!A1" display="Ir a inicio" xr:uid="{00000000-0004-0000-0C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216"/>
  <sheetViews>
    <sheetView showRowColHeaders="0" zoomScaleNormal="100" workbookViewId="0">
      <selection activeCell="C4" sqref="C4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3.265625" style="22" customWidth="1"/>
    <col min="5" max="5" width="0.86328125" style="93" customWidth="1"/>
    <col min="6" max="6" width="1.06640625" style="93" customWidth="1"/>
    <col min="7" max="7" width="0.59765625" style="93" customWidth="1"/>
    <col min="8" max="8" width="1.59765625" style="93" hidden="1" customWidth="1"/>
    <col min="9" max="9" width="0.3984375" style="93" hidden="1" customWidth="1"/>
    <col min="10" max="10" width="6.33203125" style="93" customWidth="1"/>
    <col min="11" max="11" width="45.1328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L4-SUM(L26:L31)</f>
        <v>2988.978756549217</v>
      </c>
      <c r="M3" s="73">
        <f>M4-SUM(M26:M31)</f>
        <v>2909.0416327046951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87"/>
      <c r="L4" s="157">
        <f>SUM(L6:L25)</f>
        <v>4361.49</v>
      </c>
      <c r="M4" s="157">
        <f>SUM(M6:M25)</f>
        <v>3830.2999999999997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94" t="s">
        <v>311</v>
      </c>
      <c r="E5" s="4"/>
      <c r="F5" s="4"/>
      <c r="G5" s="4"/>
      <c r="H5" s="4"/>
      <c r="I5" s="4"/>
      <c r="J5" s="169"/>
      <c r="K5" s="188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69" t="s">
        <v>310</v>
      </c>
      <c r="E6" s="4"/>
      <c r="F6" s="4"/>
      <c r="G6" s="4"/>
      <c r="H6" s="4"/>
      <c r="I6" s="4"/>
      <c r="J6" s="36" t="s">
        <v>112</v>
      </c>
      <c r="K6" s="61"/>
      <c r="L6" s="53">
        <f>ROUND((C4/100)*Datos!E4,2)</f>
        <v>1387.24</v>
      </c>
      <c r="M6" s="53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69" t="s">
        <v>130</v>
      </c>
      <c r="E7" s="4"/>
      <c r="F7" s="4"/>
      <c r="G7" s="4"/>
      <c r="H7" s="4"/>
      <c r="I7" s="4"/>
      <c r="J7" s="36" t="s">
        <v>113</v>
      </c>
      <c r="K7" s="101"/>
      <c r="L7" s="53">
        <f>ROUND(($C$4/100)*Datos!E8,2)</f>
        <v>873.38</v>
      </c>
      <c r="M7" s="53">
        <f>L7</f>
        <v>873.38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69">
        <v>1</v>
      </c>
      <c r="E8" s="4"/>
      <c r="F8" s="4"/>
      <c r="G8" s="4"/>
      <c r="H8" s="4"/>
      <c r="I8" s="4"/>
      <c r="J8" s="36" t="s">
        <v>114</v>
      </c>
      <c r="K8" s="61"/>
      <c r="L8" s="53">
        <f>ROUND(($C$4/100)*Datos!E11,2)</f>
        <v>1005.16</v>
      </c>
      <c r="M8" s="53">
        <f>L8</f>
        <v>1005.16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69">
        <v>2</v>
      </c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22"/>
      <c r="B10" s="10" t="str">
        <f t="shared" si="0"/>
        <v>Trienios agrupaciones especiales</v>
      </c>
      <c r="C10" s="17">
        <v>0</v>
      </c>
      <c r="D10" s="69" t="s">
        <v>312</v>
      </c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29" t="s">
        <v>289</v>
      </c>
      <c r="C11" s="88"/>
      <c r="D11" s="4"/>
      <c r="E11" s="4"/>
      <c r="F11" s="4"/>
      <c r="G11" s="4"/>
      <c r="H11" s="4"/>
      <c r="I11" s="4"/>
      <c r="J11" s="36" t="s">
        <v>288</v>
      </c>
      <c r="K11" s="61"/>
      <c r="L11" s="53">
        <f>ROUND(($C$4/100)*Datos!E82,2)</f>
        <v>1095.71</v>
      </c>
      <c r="M11" s="53">
        <f t="shared" ref="M11:M25" si="1">L11</f>
        <v>1095.71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105</v>
      </c>
      <c r="K12" s="61"/>
      <c r="L12" s="53">
        <f>IF(C11=J12,ROUND(($C$4/100)*Datos!E79,2),0)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75" customHeight="1" thickBot="1" x14ac:dyDescent="0.5">
      <c r="A13" s="4"/>
      <c r="B13" s="129" t="s">
        <v>316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106</v>
      </c>
      <c r="K13" s="61"/>
      <c r="L13" s="92">
        <f>IF(C11=J13,ROUND(($C$4/100)*Datos!E80,2),0)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75" customHeight="1" thickBot="1" x14ac:dyDescent="0.5">
      <c r="A14" s="4"/>
      <c r="B14" s="159" t="s">
        <v>306</v>
      </c>
      <c r="C14" s="160"/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103</v>
      </c>
      <c r="K14" s="61"/>
      <c r="L14" s="53">
        <f>IF(C11=J14,ROUND(($C$4/100)*Datos!E81,2),0)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2" customHeight="1" thickBot="1" x14ac:dyDescent="0.5">
      <c r="A15" s="4"/>
      <c r="B15" s="129" t="s">
        <v>308</v>
      </c>
      <c r="C15" s="95"/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">
        <v>273</v>
      </c>
      <c r="K15" s="61"/>
      <c r="L15" s="53">
        <f>MAX(I133:I148)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2" customHeight="1" thickBot="1" x14ac:dyDescent="0.5">
      <c r="A16" s="4"/>
      <c r="B16" s="129" t="s">
        <v>309</v>
      </c>
      <c r="C16" s="18"/>
      <c r="D16" s="4" t="s">
        <v>128</v>
      </c>
      <c r="E16" s="4"/>
      <c r="F16" s="4" t="s">
        <v>25</v>
      </c>
      <c r="G16" s="1"/>
      <c r="H16" s="4" t="s">
        <v>138</v>
      </c>
      <c r="I16" s="4"/>
      <c r="J16" s="36"/>
      <c r="K16" s="61"/>
      <c r="L16" s="53"/>
      <c r="M16" s="53"/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2" customHeight="1" thickBot="1" x14ac:dyDescent="0.5">
      <c r="A17" s="4"/>
      <c r="B17" s="129" t="s">
        <v>307</v>
      </c>
      <c r="C17" s="19"/>
      <c r="D17" s="4" t="s">
        <v>136</v>
      </c>
      <c r="E17" s="4"/>
      <c r="F17" s="4" t="s">
        <v>26</v>
      </c>
      <c r="G17" s="4"/>
      <c r="H17" s="4" t="s">
        <v>139</v>
      </c>
      <c r="I17" s="4"/>
      <c r="J17" s="54"/>
      <c r="K17" s="89"/>
      <c r="L17" s="55"/>
      <c r="M17" s="55"/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2" hidden="1" customHeight="1" x14ac:dyDescent="0.45">
      <c r="A18" s="4"/>
      <c r="B18" s="3"/>
      <c r="C18" s="90"/>
      <c r="D18" s="4" t="s">
        <v>275</v>
      </c>
      <c r="E18" s="4"/>
      <c r="F18" s="4" t="s">
        <v>27</v>
      </c>
      <c r="G18" s="4"/>
      <c r="H18" s="4" t="s">
        <v>140</v>
      </c>
      <c r="I18" s="4"/>
      <c r="J18" s="37"/>
      <c r="K18" s="37"/>
      <c r="L18" s="120"/>
      <c r="M18" s="120"/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2" hidden="1" customHeight="1" x14ac:dyDescent="0.45">
      <c r="A19" s="4"/>
      <c r="B19" s="3"/>
      <c r="C19" s="90"/>
      <c r="D19" s="4" t="s">
        <v>276</v>
      </c>
      <c r="E19" s="4"/>
      <c r="F19" s="4"/>
      <c r="G19" s="4"/>
      <c r="H19" s="4" t="s">
        <v>141</v>
      </c>
      <c r="I19" s="4"/>
      <c r="J19" s="37"/>
      <c r="K19" s="37"/>
      <c r="L19" s="120"/>
      <c r="M19" s="120"/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2" hidden="1" customHeight="1" x14ac:dyDescent="0.45">
      <c r="A20" s="4"/>
      <c r="B20" s="3"/>
      <c r="C20" s="90"/>
      <c r="D20" s="4" t="s">
        <v>277</v>
      </c>
      <c r="E20" s="4"/>
      <c r="F20" s="4"/>
      <c r="G20" s="4"/>
      <c r="H20" s="4"/>
      <c r="I20" s="4"/>
      <c r="J20" s="37"/>
      <c r="K20" s="37"/>
      <c r="L20" s="120">
        <f>IF(C15="Sí",ROUND(Datos!E91*Inspectores!C4/100,2),0)</f>
        <v>0</v>
      </c>
      <c r="M20" s="120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2" hidden="1" customHeight="1" thickBot="1" x14ac:dyDescent="0.45">
      <c r="A21" s="4"/>
      <c r="B21" s="3"/>
      <c r="C21" s="90"/>
      <c r="D21" s="4">
        <f>IF(C13=D18,0.25,IF(C13=D19,0.4,IF(C13=D20,0.6,0)))</f>
        <v>0</v>
      </c>
      <c r="E21" s="4"/>
      <c r="F21" s="4"/>
      <c r="G21" s="4"/>
      <c r="H21" s="4"/>
      <c r="I21" s="4"/>
      <c r="J21" s="37"/>
      <c r="K21" s="37"/>
      <c r="L21" s="120"/>
      <c r="M21" s="120"/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2" hidden="1" customHeight="1" x14ac:dyDescent="0.45">
      <c r="A22" s="4"/>
      <c r="B22" s="3"/>
      <c r="C22" s="90"/>
      <c r="D22" s="4"/>
      <c r="E22" s="4"/>
      <c r="F22" s="4"/>
      <c r="G22" s="4"/>
      <c r="H22" s="4"/>
      <c r="I22" s="4"/>
      <c r="J22" s="37"/>
      <c r="K22" s="37"/>
      <c r="L22" s="120">
        <f>IF(C23="Sí",ROUND(C4*SUM(D23:D25)/100,2),0)</f>
        <v>0</v>
      </c>
      <c r="M22" s="120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2" hidden="1" customHeight="1" x14ac:dyDescent="0.45">
      <c r="A23" s="4"/>
      <c r="B23" s="3"/>
      <c r="C23" s="90"/>
      <c r="D23" s="4">
        <f>IF(C23="No",0,Datos!E102)</f>
        <v>36.28</v>
      </c>
      <c r="E23" s="4"/>
      <c r="F23" s="4"/>
      <c r="G23" s="4"/>
      <c r="H23" s="4"/>
      <c r="I23" s="4"/>
      <c r="J23" s="37"/>
      <c r="K23" s="37"/>
      <c r="L23" s="120">
        <f>IF(C26="Sí",ROUND(C4*MIN(D27:D36)/100,2),0)</f>
        <v>0</v>
      </c>
      <c r="M23" s="120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2" hidden="1" customHeight="1" x14ac:dyDescent="0.45">
      <c r="A24" s="4"/>
      <c r="B24" s="91"/>
      <c r="C24" s="90"/>
      <c r="D24" s="4">
        <f>IF(AND(C23="Sí",C24="Sí"),Datos!E103,0)</f>
        <v>0</v>
      </c>
      <c r="E24" s="4"/>
      <c r="F24" s="4"/>
      <c r="G24" s="4"/>
      <c r="H24" s="4"/>
      <c r="I24" s="4"/>
      <c r="J24" s="37"/>
      <c r="K24" s="22"/>
      <c r="L24" s="120">
        <f>IF(D21&gt;0,ROUND(C4*MAX(E27:E33,G27:G33)*D21/100,2),0)</f>
        <v>0</v>
      </c>
      <c r="M24" s="120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2" hidden="1" customHeight="1" thickBot="1" x14ac:dyDescent="0.45">
      <c r="A25" s="4"/>
      <c r="B25" s="91"/>
      <c r="C25" s="90"/>
      <c r="D25" s="4">
        <f>IF(C23="Sí",C25*Datos!E104,0)</f>
        <v>0</v>
      </c>
      <c r="E25" s="4"/>
      <c r="F25" s="4"/>
      <c r="G25" s="4"/>
      <c r="H25" s="4"/>
      <c r="I25" s="4"/>
      <c r="J25" s="37"/>
      <c r="K25" s="22"/>
      <c r="L25" s="120">
        <f>IF(C21="Sí",ROUND(Datos!E92*C4/100,2),0)</f>
        <v>0</v>
      </c>
      <c r="M25" s="120">
        <f t="shared" si="1"/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2" customHeight="1" x14ac:dyDescent="0.45">
      <c r="A26" s="4"/>
      <c r="B26" s="3"/>
      <c r="C26" s="90"/>
      <c r="D26" s="4"/>
      <c r="E26" s="4" t="s">
        <v>125</v>
      </c>
      <c r="F26" s="4" t="s">
        <v>154</v>
      </c>
      <c r="G26" s="4" t="s">
        <v>280</v>
      </c>
      <c r="H26" s="4" t="s">
        <v>281</v>
      </c>
      <c r="I26" s="4"/>
      <c r="J26" s="121" t="s">
        <v>162</v>
      </c>
      <c r="K26" s="122"/>
      <c r="L26" s="41"/>
      <c r="M26" s="41"/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4.2" customHeight="1" x14ac:dyDescent="0.45">
      <c r="A27" s="4"/>
      <c r="B27" s="91"/>
      <c r="C27" s="90"/>
      <c r="D27" s="4">
        <f>IF($C$27&lt;=50,Datos!E107,"")</f>
        <v>17.649999999999999</v>
      </c>
      <c r="E27" s="4" t="str">
        <f>IF(AND(C11=D5,$D12=$D$14,$C$14=F13),Datos!E64,"")</f>
        <v/>
      </c>
      <c r="F27" s="4" t="str">
        <f>IF(AND(OR($C$13=$D$15,$C$13=$D$16),$C$14=F13,C11=D5),Datos!E68,"")</f>
        <v/>
      </c>
      <c r="G27" s="4" t="str">
        <f>IF(AND(C11=D6,$D12=$D$14,$C$14=F13),Datos!E32,"")</f>
        <v/>
      </c>
      <c r="H27" s="4" t="str">
        <f>IF(AND(OR($C$13=$D$15,$C$13=$D$16),$C$14=F13,C11=D6),Datos!E38,"")</f>
        <v/>
      </c>
      <c r="I27" s="4"/>
      <c r="J27" s="36" t="s">
        <v>231</v>
      </c>
      <c r="K27" s="61"/>
      <c r="L27" s="20">
        <f>IF(OR(C29="Funcionario/a de carrera",C29="Funcionario/a en prácticas"),51.68,0)</f>
        <v>0</v>
      </c>
      <c r="M27" s="46">
        <f>L27</f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2" customHeight="1" thickBot="1" x14ac:dyDescent="0.5">
      <c r="A28" s="4"/>
      <c r="B28" s="159" t="s">
        <v>233</v>
      </c>
      <c r="C28" s="160"/>
      <c r="D28" s="4">
        <f>IF($C$27&lt;=100,Datos!E108,"")</f>
        <v>35.32</v>
      </c>
      <c r="E28" s="4" t="str">
        <f>IF(AND(C11=D5,$D$12=$D$14,$C$14=F14),Datos!E65,"")</f>
        <v/>
      </c>
      <c r="F28" s="4" t="str">
        <f>IF(AND(OR($C$13=$D$15,$C$13=$D$16),$C$14=F14,C11=D5),Datos!E69,"")</f>
        <v/>
      </c>
      <c r="G28" s="4" t="str">
        <f>IF(AND(C11=D6,$D12=$D$14,$C$14=F14),Datos!E33,"")</f>
        <v/>
      </c>
      <c r="H28" s="4" t="str">
        <f>IF(AND(OR($C$13=$D$15,$C$13=$D$16),$C$14=F14,C11=D6),Datos!E39,"")</f>
        <v/>
      </c>
      <c r="I28" s="4"/>
      <c r="J28" s="36" t="s">
        <v>232</v>
      </c>
      <c r="K28" s="101"/>
      <c r="L28" s="20">
        <f>IF(AND(L27&gt;0,C30&lt;2011,C30&gt;0),118.04,0)</f>
        <v>0</v>
      </c>
      <c r="M28" s="46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29" t="s">
        <v>158</v>
      </c>
      <c r="C29" s="18" t="s">
        <v>161</v>
      </c>
      <c r="D29" s="4">
        <f>IF($C$27&lt;=150,Datos!E109,"")</f>
        <v>52.97</v>
      </c>
      <c r="E29" s="4" t="str">
        <f>IF(AND(C11=D5,$D$12=$D$14,$C$14=F15),Datos!E66,"")</f>
        <v/>
      </c>
      <c r="F29" s="4" t="str">
        <f>IF(AND(OR($C$13=$D$15,$C$13=$D$16),$C$14=F15,C11=D5),Datos!E70,"")</f>
        <v/>
      </c>
      <c r="G29" s="4" t="str">
        <f>IF(AND(C11=D6,$D12=$D$14,$C$14=F15),Datos!E34,"")</f>
        <v/>
      </c>
      <c r="H29" s="4" t="str">
        <f>IF(AND(OR($C$13=$D$15,$C$13=$D$16),$C$14=F15,C11=D6),Datos!E40,"")</f>
        <v/>
      </c>
      <c r="I29" s="4"/>
      <c r="J29" s="36" t="s">
        <v>163</v>
      </c>
      <c r="K29" s="61"/>
      <c r="L29" s="20">
        <f>IF(OR(C29=A36,AND(C29=A35,C30&gt;=2011)),(L4+(M4/6))*L68,0)</f>
        <v>0</v>
      </c>
      <c r="M29" s="20">
        <v>0</v>
      </c>
      <c r="P29" s="4"/>
      <c r="Q29" s="4"/>
      <c r="R29" s="4"/>
      <c r="S29" s="4"/>
      <c r="T29" s="4"/>
      <c r="U29" s="4"/>
      <c r="V29" s="4"/>
      <c r="W29" s="4"/>
    </row>
    <row r="30" spans="1:29" ht="14.65" thickBot="1" x14ac:dyDescent="0.5">
      <c r="A30" s="4"/>
      <c r="B30" s="129" t="str">
        <f>IF(C29=A35,"¿En qué año aprobaste la oposición?","")</f>
        <v/>
      </c>
      <c r="C30" s="18"/>
      <c r="D30" s="4">
        <f>IF($C$27&lt;=200,Datos!E110,"")</f>
        <v>70.64</v>
      </c>
      <c r="E30" s="4" t="str">
        <f>IF(AND(C11=D5,$D$12=$D$14,$C$14=F16),Datos!E67,"")</f>
        <v/>
      </c>
      <c r="F30" s="4" t="str">
        <f>IF(AND(OR($C$13=$D$15,$C$13=$D$16),$C$14=F16,C11=D5),Datos!E71,"")</f>
        <v/>
      </c>
      <c r="G30" s="4" t="str">
        <f>IF(AND(C11=D6,$D12=$D$14,$C$14=F13),Datos!E35,"")</f>
        <v/>
      </c>
      <c r="H30" s="4" t="str">
        <f>IF(AND(OR($C$13=$D$15,$C$13=$D$16),$C$14=F16,C11=D6),Datos!E41,"")</f>
        <v/>
      </c>
      <c r="I30" s="4"/>
      <c r="J30" s="36" t="s">
        <v>164</v>
      </c>
      <c r="K30" s="61"/>
      <c r="L30" s="46">
        <f>IF(C29=A37,L4*0.0647+M4*0.0647/6,0)</f>
        <v>323.49180466666661</v>
      </c>
      <c r="M30" s="20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71" t="s">
        <v>169</v>
      </c>
      <c r="C31" s="172"/>
      <c r="D31" s="4">
        <f>IF($C$27&lt;=250,Datos!E111,"")</f>
        <v>88.29</v>
      </c>
      <c r="E31" s="4" t="str">
        <f>IF(AND($C$13=$D$14,$C$15&lt;&gt;"",$C$15&lt;&gt;$G$13,$C$14=F17),Datos!E36,"")</f>
        <v/>
      </c>
      <c r="F31" s="4"/>
      <c r="G31" s="4" t="str">
        <f>IF(AND(C11=D6,$D12=$D$14,$C$14=F16),Datos!E36,"")</f>
        <v/>
      </c>
      <c r="H31" s="4" t="str">
        <f>IF(AND(OR($C$13=$D$15,$C$13=$D$16),$C$14=F17,C11=D6),Datos!E42,"")</f>
        <v/>
      </c>
      <c r="I31" s="4"/>
      <c r="J31" s="54" t="s">
        <v>165</v>
      </c>
      <c r="K31" s="96">
        <f>L61</f>
        <v>0.24051859313769283</v>
      </c>
      <c r="L31" s="47">
        <f>L4*K31</f>
        <v>1049.0194387841159</v>
      </c>
      <c r="M31" s="47">
        <f>M4*K31</f>
        <v>921.25836729530477</v>
      </c>
      <c r="O31" s="4"/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29" t="s">
        <v>171</v>
      </c>
      <c r="C32" s="18" t="s">
        <v>138</v>
      </c>
      <c r="D32" s="4">
        <f>IF($C$27&lt;=300,Datos!E112,"")</f>
        <v>105.96</v>
      </c>
      <c r="E32" s="4" t="str">
        <f>IF(AND($C$13=$D$14,$C$15&lt;&gt;"",$C$15&lt;&gt;$G$13,$C$14=F18),Datos!E37,"")</f>
        <v/>
      </c>
      <c r="F32" s="4"/>
      <c r="G32" s="4" t="str">
        <f>IF(AND(C11=D6,$D12=$D$14,$C$14=F17),Datos!E37,"")</f>
        <v/>
      </c>
      <c r="H32" s="4"/>
      <c r="I32" s="4"/>
      <c r="J32" s="22"/>
      <c r="K32" s="22"/>
      <c r="O32" s="4" t="s">
        <v>176</v>
      </c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191</v>
      </c>
      <c r="C33" s="116">
        <v>0</v>
      </c>
      <c r="D33" s="4">
        <f>IF($C$27&lt;=350,Datos!E113,"")</f>
        <v>123.62</v>
      </c>
      <c r="E33" s="4"/>
      <c r="F33" s="4" t="str">
        <f>IF(AND(OR($C$13=$D$15,$C$13=$D$16),$C$15&lt;&gt;"",$C$15&lt;&gt;$G$13,$C$14=F19),Datos!E44,"")</f>
        <v/>
      </c>
      <c r="G33" s="4" t="str">
        <f>IF(AND(C11=D6,$D12=$D$14,$C$14=F18),Datos!E38,"")</f>
        <v/>
      </c>
      <c r="H33" s="4"/>
      <c r="I33" s="4"/>
      <c r="J33" s="22"/>
      <c r="K33" s="22"/>
      <c r="O33" s="4" t="s">
        <v>177</v>
      </c>
      <c r="P33" s="4">
        <v>2400</v>
      </c>
      <c r="Q33" s="4">
        <v>2400</v>
      </c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190</v>
      </c>
      <c r="C34" s="116">
        <v>0</v>
      </c>
      <c r="D34" s="4">
        <f>IF($C$27&lt;=450,Datos!E114,"")</f>
        <v>141.27000000000001</v>
      </c>
      <c r="E34" s="4"/>
      <c r="F34" s="4"/>
      <c r="G34" s="4"/>
      <c r="H34" s="4"/>
      <c r="I34" s="4"/>
      <c r="J34" s="74" t="s">
        <v>167</v>
      </c>
      <c r="K34" s="97"/>
      <c r="L34" s="76"/>
      <c r="O34" s="4" t="s">
        <v>178</v>
      </c>
      <c r="P34" s="4">
        <v>2700</v>
      </c>
      <c r="Q34" s="4">
        <f>Q33+P34</f>
        <v>5100</v>
      </c>
      <c r="R34" s="4"/>
      <c r="S34" s="4"/>
      <c r="T34" s="4"/>
      <c r="U34" s="4"/>
      <c r="V34" s="4"/>
      <c r="W34" s="4"/>
    </row>
    <row r="35" spans="1:23" ht="14.65" thickBot="1" x14ac:dyDescent="0.5">
      <c r="A35" s="4" t="s">
        <v>159</v>
      </c>
      <c r="B35" s="41" t="s">
        <v>174</v>
      </c>
      <c r="C35" s="18"/>
      <c r="D35" s="4">
        <f>IF($C$27&lt;=450,Datos!E115,"")</f>
        <v>158.94</v>
      </c>
      <c r="E35" s="4"/>
      <c r="F35" s="4"/>
      <c r="G35" s="4"/>
      <c r="H35" s="4"/>
      <c r="I35" s="4"/>
      <c r="J35" s="36" t="s">
        <v>168</v>
      </c>
      <c r="K35" s="37"/>
      <c r="L35" s="70">
        <f>L4*12+M4*2</f>
        <v>59998.479999999996</v>
      </c>
      <c r="O35" s="4" t="s">
        <v>179</v>
      </c>
      <c r="P35" s="4">
        <v>4000</v>
      </c>
      <c r="Q35" s="4">
        <f>Q34+P35</f>
        <v>9100</v>
      </c>
      <c r="R35" s="4"/>
      <c r="S35" s="4"/>
      <c r="T35" s="4"/>
      <c r="U35" s="4"/>
      <c r="V35" s="4"/>
      <c r="W35" s="4"/>
    </row>
    <row r="36" spans="1:23" ht="14.75" customHeight="1" thickBot="1" x14ac:dyDescent="0.5">
      <c r="A36" s="4" t="s">
        <v>160</v>
      </c>
      <c r="B36" s="129" t="s">
        <v>173</v>
      </c>
      <c r="C36" s="18">
        <v>0</v>
      </c>
      <c r="D36" s="4">
        <f>IF($C$27&lt;=1000050,Datos!E116,"")</f>
        <v>176.59</v>
      </c>
      <c r="E36" s="4"/>
      <c r="F36" s="4"/>
      <c r="G36" s="4"/>
      <c r="H36" s="4"/>
      <c r="I36" s="4"/>
      <c r="J36" s="36" t="s">
        <v>259</v>
      </c>
      <c r="K36" s="37"/>
      <c r="L36" s="9">
        <f>IF(AND(C47="Sí",L35&lt;33007.2),TRUNC(L35*0.02),0)</f>
        <v>0</v>
      </c>
      <c r="M36" s="22"/>
      <c r="N36" s="22"/>
      <c r="O36" s="4" t="s">
        <v>180</v>
      </c>
      <c r="P36" s="4">
        <v>4500</v>
      </c>
      <c r="Q36" s="4"/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161</v>
      </c>
      <c r="B37" s="131" t="s">
        <v>196</v>
      </c>
      <c r="C37" s="18" t="s">
        <v>138</v>
      </c>
      <c r="D37" s="4" t="str">
        <f>IF(B69=A68,"Sí","No")</f>
        <v>Sí</v>
      </c>
      <c r="E37" s="4"/>
      <c r="F37" s="4"/>
      <c r="G37" s="4"/>
      <c r="H37" s="4"/>
      <c r="I37" s="4"/>
      <c r="J37" s="36" t="s">
        <v>265</v>
      </c>
      <c r="K37" s="37"/>
      <c r="L37" s="9">
        <f>IF(L35-L38&lt;14582,7302,IF(L35-L38&lt;17673.52,7302-(1.75*(L35-L38-14852)),IF(L35-L38&lt;19747.5,2364.34-(1.14*(L35-L38-17673.52)),0)))</f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182</v>
      </c>
      <c r="B38" s="129" t="s">
        <v>181</v>
      </c>
      <c r="C38" s="18" t="s">
        <v>182</v>
      </c>
      <c r="D38" s="4"/>
      <c r="E38" s="4"/>
      <c r="F38" s="4"/>
      <c r="G38" s="4"/>
      <c r="H38" s="4"/>
      <c r="I38" s="4"/>
      <c r="J38" s="36" t="s">
        <v>236</v>
      </c>
      <c r="K38" s="37"/>
      <c r="L38" s="70">
        <f>SUM(L27:L30)*14+SUM(M27:M30)*2</f>
        <v>4528.8852653333324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184</v>
      </c>
      <c r="B39" s="131" t="s">
        <v>189</v>
      </c>
      <c r="C39" s="18" t="s">
        <v>138</v>
      </c>
      <c r="D39" s="4"/>
      <c r="E39" s="4"/>
      <c r="F39" s="4"/>
      <c r="G39" s="4"/>
      <c r="H39" s="4"/>
      <c r="I39" s="4"/>
      <c r="J39" s="36" t="s">
        <v>241</v>
      </c>
      <c r="K39" s="37"/>
      <c r="L39" s="70">
        <f>C33+2000+M40</f>
        <v>2000</v>
      </c>
      <c r="M39" s="4"/>
      <c r="N39" s="4"/>
      <c r="O39" s="22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183</v>
      </c>
      <c r="B40" s="129" t="s">
        <v>192</v>
      </c>
      <c r="C40" s="18"/>
      <c r="D40" s="4"/>
      <c r="E40" s="4"/>
      <c r="F40" s="4"/>
      <c r="G40" s="4"/>
      <c r="H40" s="4"/>
      <c r="I40" s="4"/>
      <c r="J40" s="36" t="s">
        <v>170</v>
      </c>
      <c r="K40" s="37"/>
      <c r="L40" s="70">
        <f>IF(C32="Sí",1150+5550,5550)</f>
        <v>5550</v>
      </c>
      <c r="M40" s="4">
        <f>IF(AND(C38=A41,C39="No"),3500,IF(OR(C38=A40,C38=A41),7750,0))</f>
        <v>0</v>
      </c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x14ac:dyDescent="0.45">
      <c r="A41" s="4" t="s">
        <v>185</v>
      </c>
      <c r="B41" s="173" t="s">
        <v>207</v>
      </c>
      <c r="C41" s="175">
        <v>0</v>
      </c>
      <c r="D41" s="93"/>
      <c r="J41" s="36" t="s">
        <v>172</v>
      </c>
      <c r="K41" s="37"/>
      <c r="L41" s="70">
        <f>SUM(C70:C73)</f>
        <v>0</v>
      </c>
      <c r="M41" s="4"/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/>
      <c r="B42" s="173"/>
      <c r="C42" s="176"/>
      <c r="D42" s="93"/>
      <c r="J42" s="36" t="s">
        <v>175</v>
      </c>
      <c r="K42" s="37"/>
      <c r="L42" s="70">
        <f>IF(C37="no",M48/2+1400*C36,M48+2800*C36)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thickBot="1" x14ac:dyDescent="0.5">
      <c r="A43" s="4"/>
      <c r="B43" s="174"/>
      <c r="C43" s="177"/>
      <c r="D43" s="93"/>
      <c r="J43" s="36" t="s">
        <v>186</v>
      </c>
      <c r="K43" s="37"/>
      <c r="L43" s="70">
        <f>IF(C38=A40,9000,IF(C38=A41,3000,0))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x14ac:dyDescent="0.45">
      <c r="A44" s="4"/>
      <c r="B44" s="178" t="s">
        <v>207</v>
      </c>
      <c r="C44" s="175">
        <v>0</v>
      </c>
      <c r="D44" s="93"/>
      <c r="J44" s="36" t="s">
        <v>187</v>
      </c>
      <c r="K44" s="37"/>
      <c r="L44" s="70">
        <f>SUM(C74:C77)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3"/>
      <c r="C45" s="176"/>
      <c r="D45" s="93"/>
      <c r="J45" s="36" t="s">
        <v>188</v>
      </c>
      <c r="K45" s="37"/>
      <c r="L45" s="70">
        <f>IF(C37="Sí",M50,M50/2)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thickBot="1" x14ac:dyDescent="0.5">
      <c r="A46" s="4"/>
      <c r="B46" s="174"/>
      <c r="C46" s="177"/>
      <c r="D46" s="93"/>
      <c r="J46" s="36" t="s">
        <v>206</v>
      </c>
      <c r="K46" s="37"/>
      <c r="L46" s="70">
        <f>IF(OR(C39="Sí",C38=A40),3000,0)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22"/>
      <c r="B47" s="129" t="s">
        <v>267</v>
      </c>
      <c r="C47" s="18" t="s">
        <v>138</v>
      </c>
      <c r="D47" s="93"/>
      <c r="J47" s="36" t="s">
        <v>208</v>
      </c>
      <c r="K47" s="37"/>
      <c r="L47" s="9">
        <f>SUM(L40:L46)</f>
        <v>5550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260</v>
      </c>
      <c r="C48" s="117"/>
      <c r="D48" s="93"/>
      <c r="J48" s="36" t="s">
        <v>209</v>
      </c>
      <c r="K48" s="37"/>
      <c r="L48" s="9">
        <f>MAX(0,L35-L38-L39-L37)</f>
        <v>53469.594734666665</v>
      </c>
      <c r="M48" s="4">
        <f>IF(C35=1,Q33,IF(C35=2,Q34,IF(C35=3,Q35,IF(C35&lt;1,0,Q35+4500*(C35-3)))))</f>
        <v>0</v>
      </c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25" t="s">
        <v>193</v>
      </c>
      <c r="C49" s="109"/>
      <c r="D49" s="93"/>
      <c r="J49" s="36" t="s">
        <v>210</v>
      </c>
      <c r="K49" s="37"/>
      <c r="L49" s="9">
        <f>IF(L47&gt;12450,0,MAX(0,MIN(12450,L48)-L47))</f>
        <v>6900</v>
      </c>
      <c r="M49" s="4"/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194</v>
      </c>
      <c r="C50" s="109" t="s">
        <v>182</v>
      </c>
      <c r="D50" s="93"/>
      <c r="J50" s="36" t="s">
        <v>211</v>
      </c>
      <c r="K50" s="37"/>
      <c r="L50" s="9">
        <f>IF(IF(L47&gt;20200,0,IF(L48&gt;20200,MIN(20200-L47,20200-12450),MIN(L48-L47,L48-12450)))&lt;0,0,IF(L47&gt;20200,0,IF(L48&gt;20200,MIN(20200-L47,20200-12450),MIN(L48-L47,L48-12450))))</f>
        <v>7750</v>
      </c>
      <c r="M50" s="4">
        <f>C40*12000+C41*6000+C44*3000</f>
        <v>0</v>
      </c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201</v>
      </c>
      <c r="C51" s="18" t="s">
        <v>138</v>
      </c>
      <c r="D51" s="93"/>
      <c r="J51" s="36" t="s">
        <v>212</v>
      </c>
      <c r="K51" s="37"/>
      <c r="L51" s="9">
        <f>IF(IF(L47&gt;35200,0,IF(L48&gt;35200,MIN(35200-L47,35200-20200),MIN(L48-L47,L48-20200)))&lt;0,0,IF(L47&gt;35200,0,IF(L48&gt;35200,MIN(35200-L47,35200-20200),MIN(L48-L47,L48-20200))))</f>
        <v>15000</v>
      </c>
      <c r="M51" s="4"/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4"/>
      <c r="B52" s="26" t="s">
        <v>195</v>
      </c>
      <c r="C52" s="109"/>
      <c r="D52" s="93"/>
      <c r="J52" s="36" t="s">
        <v>213</v>
      </c>
      <c r="K52" s="37"/>
      <c r="L52" s="9">
        <f>IF(IF(L47&gt;60000,0,IF(L48&gt;60000,MIN(35200-L47,60000-35200),MIN(L48-L47,L48-35200)))&lt;0,0,IF(L47&gt;60000,0,IF(L48&gt;60000,MIN(35200-L47,60000-35200),MIN(L48-L47,L48-35200))))</f>
        <v>18269.594734666665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129" t="s">
        <v>261</v>
      </c>
      <c r="C53" s="117"/>
      <c r="D53" s="93"/>
      <c r="J53" s="36" t="s">
        <v>214</v>
      </c>
      <c r="K53" s="37"/>
      <c r="L53" s="9">
        <f>IF(IF(L47&gt;30000,0,IF(L48&gt;300000,MIN(60000-L47,300000-60000),MIN(L48-L47,L48-60000)))&lt;0,0,IF(L47&gt;30000,0,IF(L48&gt;300000,MIN(60000-L47,300000-60000),MIN(L48-L47,L48-60000))))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25" t="s">
        <v>193</v>
      </c>
      <c r="C54" s="109"/>
      <c r="D54" s="93"/>
      <c r="J54" s="36" t="s">
        <v>215</v>
      </c>
      <c r="K54" s="37"/>
      <c r="L54" s="9">
        <f>ROUND(L49*0.19,2)</f>
        <v>1311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194</v>
      </c>
      <c r="C55" s="109" t="s">
        <v>182</v>
      </c>
      <c r="D55" s="93"/>
      <c r="J55" s="36" t="s">
        <v>216</v>
      </c>
      <c r="K55" s="37"/>
      <c r="L55" s="9">
        <f>ROUND(L50*0.24,2)</f>
        <v>1860</v>
      </c>
      <c r="M55" s="4"/>
      <c r="N55" s="4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201</v>
      </c>
      <c r="C56" s="18" t="s">
        <v>138</v>
      </c>
      <c r="D56" s="93"/>
      <c r="J56" s="36" t="s">
        <v>217</v>
      </c>
      <c r="K56" s="37"/>
      <c r="L56" s="9">
        <f>ROUND(L51*0.3,2)</f>
        <v>4500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6" t="s">
        <v>195</v>
      </c>
      <c r="C57" s="109"/>
      <c r="D57" s="93"/>
      <c r="J57" s="36" t="s">
        <v>218</v>
      </c>
      <c r="K57" s="37"/>
      <c r="L57" s="9">
        <f>ROUND(L52*0.37,2)</f>
        <v>6759.75</v>
      </c>
      <c r="P57" s="4"/>
      <c r="Q57" s="4"/>
      <c r="R57" s="4"/>
      <c r="S57" s="4"/>
      <c r="T57" s="4"/>
      <c r="U57" s="4"/>
      <c r="V57" s="4"/>
      <c r="W57" s="4"/>
    </row>
    <row r="58" spans="1:23" ht="14.65" thickBot="1" x14ac:dyDescent="0.5">
      <c r="A58" s="4"/>
      <c r="B58" s="129" t="s">
        <v>262</v>
      </c>
      <c r="C58" s="117"/>
      <c r="D58" s="93"/>
      <c r="J58" s="36" t="s">
        <v>219</v>
      </c>
      <c r="K58" s="37"/>
      <c r="L58" s="9">
        <f>ROUND(L53*0.45,2)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25" t="s">
        <v>193</v>
      </c>
      <c r="C59" s="109"/>
      <c r="D59" s="93"/>
      <c r="J59" s="36" t="s">
        <v>266</v>
      </c>
      <c r="K59" s="37"/>
      <c r="L59" s="49">
        <f>SUM(L54:L58)</f>
        <v>14430.75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194</v>
      </c>
      <c r="C60" s="109" t="s">
        <v>182</v>
      </c>
      <c r="D60" s="93"/>
      <c r="J60" s="36" t="s">
        <v>264</v>
      </c>
      <c r="K60" s="37"/>
      <c r="L60" s="49">
        <f>MAX(0,C129-L36)</f>
        <v>14430.750051826666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7" t="s">
        <v>201</v>
      </c>
      <c r="C61" s="18" t="s">
        <v>138</v>
      </c>
      <c r="D61" s="93"/>
      <c r="J61" s="98" t="s">
        <v>220</v>
      </c>
      <c r="K61" s="99"/>
      <c r="L61" s="82">
        <f>IF(M61&lt;0.02,0.02,M61)</f>
        <v>0.24051859313769283</v>
      </c>
      <c r="M61" s="4">
        <f>IF(L60&lt;L59,L60/L35,L59/L35)</f>
        <v>0.24051859313769283</v>
      </c>
    </row>
    <row r="62" spans="1:23" ht="14.65" thickBot="1" x14ac:dyDescent="0.5">
      <c r="A62" s="4"/>
      <c r="B62" s="26" t="s">
        <v>195</v>
      </c>
      <c r="C62" s="109"/>
      <c r="D62" s="93"/>
      <c r="J62" s="22"/>
      <c r="K62" s="22"/>
    </row>
    <row r="63" spans="1:23" ht="14.65" thickBot="1" x14ac:dyDescent="0.5">
      <c r="A63" s="4"/>
      <c r="B63" s="129" t="s">
        <v>263</v>
      </c>
      <c r="C63" s="117"/>
      <c r="D63" s="93"/>
      <c r="J63" s="74" t="s">
        <v>222</v>
      </c>
      <c r="K63" s="100"/>
      <c r="L63" s="78"/>
    </row>
    <row r="64" spans="1:23" ht="14.65" thickBot="1" x14ac:dyDescent="0.5">
      <c r="A64" s="4"/>
      <c r="B64" s="25" t="s">
        <v>193</v>
      </c>
      <c r="C64" s="109"/>
      <c r="D64" s="93"/>
      <c r="J64" s="36" t="s">
        <v>224</v>
      </c>
      <c r="K64" s="22"/>
      <c r="L64" s="71">
        <v>4.7E-2</v>
      </c>
    </row>
    <row r="65" spans="1:12" ht="14.65" thickBot="1" x14ac:dyDescent="0.5">
      <c r="A65" s="4"/>
      <c r="B65" s="25" t="s">
        <v>194</v>
      </c>
      <c r="C65" s="109" t="s">
        <v>182</v>
      </c>
      <c r="D65" s="93"/>
      <c r="J65" s="36" t="s">
        <v>225</v>
      </c>
      <c r="K65" s="22"/>
      <c r="L65" s="71">
        <v>1.1999999999999999E-3</v>
      </c>
    </row>
    <row r="66" spans="1:12" ht="14.65" thickBot="1" x14ac:dyDescent="0.5">
      <c r="A66" s="4"/>
      <c r="B66" s="27" t="s">
        <v>201</v>
      </c>
      <c r="C66" s="18" t="s">
        <v>138</v>
      </c>
      <c r="D66" s="93"/>
      <c r="J66" s="36" t="s">
        <v>230</v>
      </c>
      <c r="K66" s="22"/>
      <c r="L66" s="71">
        <v>0.28299999999999997</v>
      </c>
    </row>
    <row r="67" spans="1:12" ht="14.65" thickBot="1" x14ac:dyDescent="0.5">
      <c r="A67" s="4"/>
      <c r="B67" s="27" t="s">
        <v>195</v>
      </c>
      <c r="C67" s="109"/>
      <c r="D67" s="93"/>
      <c r="J67" s="36" t="s">
        <v>229</v>
      </c>
      <c r="K67" s="22"/>
      <c r="L67" s="40">
        <v>1.0999999999999999E-2</v>
      </c>
    </row>
    <row r="68" spans="1:12" ht="14.65" thickBot="1" x14ac:dyDescent="0.5">
      <c r="A68" s="30" t="s">
        <v>240</v>
      </c>
      <c r="B68" s="41" t="s">
        <v>237</v>
      </c>
      <c r="C68" s="69">
        <f>IF(B69=A68,1,IF(B69=A69,2,IF(B69=A70,3,0)))</f>
        <v>1</v>
      </c>
      <c r="D68" s="93"/>
      <c r="J68" s="98" t="s">
        <v>228</v>
      </c>
      <c r="K68" s="99"/>
      <c r="L68" s="83">
        <f>L64+L65-ROUND((L66*L67),4)</f>
        <v>4.5100000000000001E-2</v>
      </c>
    </row>
    <row r="69" spans="1:12" ht="42" customHeight="1" thickBot="1" x14ac:dyDescent="0.5">
      <c r="A69" s="30" t="s">
        <v>238</v>
      </c>
      <c r="B69" s="161" t="s">
        <v>240</v>
      </c>
      <c r="C69" s="162"/>
      <c r="D69" s="93"/>
      <c r="J69" s="22"/>
      <c r="K69" s="22"/>
    </row>
    <row r="70" spans="1:12" x14ac:dyDescent="0.45">
      <c r="A70" s="30" t="s">
        <v>239</v>
      </c>
      <c r="B70" s="4" t="s">
        <v>197</v>
      </c>
      <c r="C70" s="4">
        <f>IF(C49&gt;=75,ROUND((1150+1400)/C52,2),IF(C49&gt;=65,ROUND(1150/C52,2),0))</f>
        <v>0</v>
      </c>
      <c r="D70" s="93"/>
      <c r="J70" s="74" t="s">
        <v>223</v>
      </c>
      <c r="K70" s="100"/>
      <c r="L70" s="78"/>
    </row>
    <row r="71" spans="1:12" x14ac:dyDescent="0.45">
      <c r="A71" s="4"/>
      <c r="B71" s="4" t="s">
        <v>198</v>
      </c>
      <c r="C71" s="4">
        <f>IF(C54&gt;=75,ROUND((1150+1400)/C57,2),IF(C54&gt;=65,ROUND(1150/C57,2),0))</f>
        <v>0</v>
      </c>
      <c r="D71" s="93"/>
      <c r="J71" s="36" t="s">
        <v>224</v>
      </c>
      <c r="K71" s="22"/>
      <c r="L71" s="71">
        <v>4.7E-2</v>
      </c>
    </row>
    <row r="72" spans="1:12" x14ac:dyDescent="0.45">
      <c r="A72" s="4"/>
      <c r="B72" s="4" t="s">
        <v>199</v>
      </c>
      <c r="C72" s="4">
        <f>IF(C59&gt;=75,ROUND((1150+1400)/C62,2),IF(C59&gt;=65,ROUND(1150/C62,2),0))</f>
        <v>0</v>
      </c>
      <c r="D72" s="93"/>
      <c r="J72" s="36" t="s">
        <v>225</v>
      </c>
      <c r="K72" s="22"/>
      <c r="L72" s="71">
        <v>1.1999999999999999E-3</v>
      </c>
    </row>
    <row r="73" spans="1:12" x14ac:dyDescent="0.45">
      <c r="A73" s="4"/>
      <c r="B73" s="4" t="s">
        <v>200</v>
      </c>
      <c r="C73" s="4">
        <f>IF(C64&gt;=75,ROUND((1150+1400)/C67,2),IF(C64&gt;=65,ROUND(1150/C67,2),0))</f>
        <v>0</v>
      </c>
      <c r="D73" s="93"/>
      <c r="J73" s="36" t="s">
        <v>226</v>
      </c>
      <c r="K73" s="22"/>
      <c r="L73" s="71">
        <v>1.55E-2</v>
      </c>
    </row>
    <row r="74" spans="1:12" x14ac:dyDescent="0.45">
      <c r="B74" s="4" t="s">
        <v>202</v>
      </c>
      <c r="C74" s="4">
        <f>IF(C49&lt;65,0,IF(C50=A40,ROUND(12000/C52,2),IF(AND(C50=A41,C51="No"),ROUND(3000/C52,2),IF(AND(C50=A41,C51="Sí"),ROUND(6000/C52,2),""))))</f>
        <v>0</v>
      </c>
      <c r="D74" s="93"/>
      <c r="J74" s="36" t="s">
        <v>227</v>
      </c>
      <c r="K74" s="22"/>
      <c r="L74" s="71">
        <v>1E-3</v>
      </c>
    </row>
    <row r="75" spans="1:12" ht="14.65" thickBot="1" x14ac:dyDescent="0.5">
      <c r="B75" s="4" t="s">
        <v>203</v>
      </c>
      <c r="C75" s="4">
        <f>IF(C54&lt;65,0,IF(C55=A40,ROUND(12000/C57,2),IF(AND(C55=A41,C56="No"),ROUND(3000/C57,2),IF(AND(C55=A41,C56="Sí"),ROUND(6000/C57,2),""))))</f>
        <v>0</v>
      </c>
      <c r="D75" s="93"/>
      <c r="J75" s="98" t="s">
        <v>228</v>
      </c>
      <c r="K75" s="99"/>
      <c r="L75" s="82">
        <f>SUM(L71:L74)</f>
        <v>6.4700000000000008E-2</v>
      </c>
    </row>
    <row r="76" spans="1:12" x14ac:dyDescent="0.45">
      <c r="B76" s="4" t="s">
        <v>204</v>
      </c>
      <c r="C76" s="4">
        <f>IF(C59&lt;65,0,IF(C60=A40,ROUND(12000/C62,2),IF(AND(C60=A41,C61="No"),ROUND(3000/C62,2),IF(AND(C60=A41,C61="Sí"),ROUND(6000/C62,2),""))))</f>
        <v>0</v>
      </c>
      <c r="D76" s="4"/>
      <c r="E76" s="4"/>
      <c r="F76" s="4"/>
      <c r="G76" s="4"/>
      <c r="H76" s="4"/>
      <c r="I76" s="4"/>
      <c r="J76" s="4"/>
      <c r="K76" s="4"/>
    </row>
    <row r="77" spans="1:12" x14ac:dyDescent="0.45">
      <c r="B77" s="4" t="s">
        <v>205</v>
      </c>
      <c r="C77" s="4">
        <f>IF(C64&lt;65,0,IF(C65=A40,ROUND(12000/C67,2),IF(AND(C65=A41,C66="No"),ROUND(3000/C67,2),IF(AND(C65=A41,C66="Sí"),ROUND(6000/C67,2),""))))</f>
        <v>0</v>
      </c>
      <c r="D77" s="4"/>
      <c r="E77" s="4"/>
      <c r="F77" s="4"/>
      <c r="G77" s="4"/>
      <c r="H77" s="4"/>
      <c r="I77" s="4"/>
      <c r="J77" s="4"/>
      <c r="K77" s="4"/>
    </row>
    <row r="78" spans="1:12" x14ac:dyDescent="0.45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2" x14ac:dyDescent="0.45">
      <c r="B79" s="4" t="s">
        <v>242</v>
      </c>
      <c r="C79" s="4"/>
      <c r="D79" s="4"/>
      <c r="E79" s="4"/>
      <c r="F79" s="4"/>
      <c r="G79" s="4"/>
      <c r="H79" s="4"/>
      <c r="I79" s="4"/>
      <c r="J79" s="4"/>
      <c r="K79" s="4"/>
    </row>
    <row r="80" spans="1:12" x14ac:dyDescent="0.45">
      <c r="B80" s="4" t="s">
        <v>243</v>
      </c>
      <c r="C80" s="33">
        <f>L48-C34</f>
        <v>53469.594734666665</v>
      </c>
      <c r="D80" s="4"/>
      <c r="E80" s="4"/>
      <c r="F80" s="4"/>
      <c r="G80" s="4"/>
      <c r="H80" s="4"/>
      <c r="I80" s="4"/>
      <c r="J80" s="4"/>
      <c r="K80" s="4"/>
    </row>
    <row r="81" spans="2:11" x14ac:dyDescent="0.45">
      <c r="B81" s="4" t="s">
        <v>244</v>
      </c>
      <c r="C81" s="33">
        <f>C34</f>
        <v>0</v>
      </c>
      <c r="D81" s="4"/>
      <c r="E81" s="4"/>
      <c r="F81" s="4"/>
      <c r="G81" s="4"/>
      <c r="H81" s="4"/>
      <c r="I81" s="4"/>
      <c r="J81" s="4"/>
      <c r="K81" s="4"/>
    </row>
    <row r="82" spans="2:11" x14ac:dyDescent="0.45">
      <c r="B82" s="4" t="s">
        <v>245</v>
      </c>
      <c r="C82" s="34">
        <f>MAX(B84:B89)</f>
        <v>15485.250051826666</v>
      </c>
      <c r="D82" s="4"/>
      <c r="E82" s="4"/>
      <c r="F82" s="4"/>
      <c r="G82" s="4"/>
      <c r="H82" s="4"/>
      <c r="I82" s="4"/>
      <c r="J82" s="4"/>
      <c r="K82" s="4"/>
    </row>
    <row r="83" spans="2:11" x14ac:dyDescent="0.45">
      <c r="B83" s="4" t="s">
        <v>247</v>
      </c>
      <c r="C83" s="4"/>
      <c r="D83" s="4"/>
      <c r="E83" s="4"/>
      <c r="F83" s="4"/>
      <c r="G83" s="4"/>
      <c r="H83" s="4"/>
      <c r="I83" s="4"/>
      <c r="J83" s="4"/>
      <c r="K83" s="4"/>
    </row>
    <row r="84" spans="2:11" x14ac:dyDescent="0.45">
      <c r="B84" s="4" t="str">
        <f>IF(C80&lt;12450,0+(C80)*0.19,"")</f>
        <v/>
      </c>
      <c r="C84" s="4"/>
      <c r="D84" s="4"/>
      <c r="E84" s="4"/>
      <c r="F84" s="4"/>
      <c r="G84" s="4"/>
      <c r="H84" s="4"/>
      <c r="I84" s="4"/>
      <c r="J84" s="4"/>
      <c r="K84" s="4"/>
    </row>
    <row r="85" spans="2:11" x14ac:dyDescent="0.45">
      <c r="B85" s="4" t="str">
        <f>IF(AND(C80&gt;=12450,C80&lt;20200),2365.5+(C80-12450)*0.24,"")</f>
        <v/>
      </c>
      <c r="C85" s="4"/>
      <c r="D85" s="4"/>
      <c r="E85" s="4"/>
      <c r="F85" s="4"/>
      <c r="G85" s="4"/>
      <c r="H85" s="4"/>
      <c r="I85" s="4"/>
      <c r="J85" s="4"/>
      <c r="K85" s="4"/>
    </row>
    <row r="86" spans="2:11" x14ac:dyDescent="0.45">
      <c r="B86" s="4" t="str">
        <f>IF(AND(C80&gt;=20200,C80&lt;35200),4225.5+(C80-20200)*0.3,"")</f>
        <v/>
      </c>
      <c r="C86" s="4"/>
      <c r="D86" s="4"/>
      <c r="E86" s="4"/>
      <c r="F86" s="4"/>
      <c r="G86" s="4"/>
      <c r="H86" s="4"/>
      <c r="I86" s="4"/>
      <c r="J86" s="4"/>
      <c r="K86" s="4"/>
    </row>
    <row r="87" spans="2:11" x14ac:dyDescent="0.45">
      <c r="B87" s="4">
        <f>IF(AND(C80&gt;=35200,C80&lt;60000),8725.5+(C80-35200)*0.37,"")</f>
        <v>15485.250051826666</v>
      </c>
      <c r="C87" s="4"/>
      <c r="D87" s="4"/>
      <c r="E87" s="4"/>
      <c r="F87" s="4"/>
      <c r="G87" s="4"/>
      <c r="H87" s="4"/>
      <c r="I87" s="4"/>
      <c r="J87" s="4"/>
      <c r="K87" s="4"/>
    </row>
    <row r="88" spans="2:11" x14ac:dyDescent="0.45">
      <c r="B88" s="4" t="str">
        <f>IF(AND(C80&gt;=60000,C80&lt;300000),17901.5+(C80-60000)*0.45,"")</f>
        <v/>
      </c>
      <c r="C88" s="4"/>
      <c r="D88" s="4"/>
      <c r="E88" s="4"/>
      <c r="F88" s="4"/>
      <c r="G88" s="4"/>
      <c r="H88" s="4"/>
      <c r="I88" s="4"/>
      <c r="J88" s="4"/>
      <c r="K88" s="4"/>
    </row>
    <row r="89" spans="2:11" x14ac:dyDescent="0.45">
      <c r="B89" s="4" t="str">
        <f>IF(C80&gt;300000,125901.5+(C80-300000)*0.47,"")</f>
        <v/>
      </c>
      <c r="C89" s="4"/>
      <c r="D89" s="4"/>
      <c r="E89" s="4"/>
      <c r="F89" s="4"/>
      <c r="G89" s="4"/>
      <c r="H89" s="4"/>
      <c r="I89" s="4"/>
      <c r="J89" s="4"/>
      <c r="K89" s="4"/>
    </row>
    <row r="90" spans="2:11" x14ac:dyDescent="0.45">
      <c r="B90" s="4" t="s">
        <v>246</v>
      </c>
      <c r="C90" s="34">
        <f>MAX(B91:B96)</f>
        <v>0</v>
      </c>
      <c r="D90" s="4"/>
      <c r="E90" s="4"/>
      <c r="F90" s="4"/>
      <c r="G90" s="4"/>
      <c r="H90" s="4"/>
      <c r="I90" s="4"/>
      <c r="J90" s="4"/>
      <c r="K90" s="4"/>
    </row>
    <row r="91" spans="2:11" x14ac:dyDescent="0.45">
      <c r="B91" s="4">
        <f>IF(C81&lt;12450,0+(C81)*0.19,"")</f>
        <v>0</v>
      </c>
      <c r="C91" s="4"/>
      <c r="D91" s="4"/>
      <c r="E91" s="4"/>
      <c r="F91" s="4"/>
      <c r="G91" s="4"/>
      <c r="H91" s="4"/>
      <c r="I91" s="4"/>
      <c r="J91" s="4"/>
      <c r="K91" s="4"/>
    </row>
    <row r="92" spans="2:11" x14ac:dyDescent="0.45">
      <c r="B92" s="4" t="str">
        <f>IF(AND(C81&gt;=12450,C81&lt;20200),2365.5+(C81-12450)*0.24,"")</f>
        <v/>
      </c>
      <c r="C92" s="4"/>
      <c r="D92" s="4"/>
      <c r="E92" s="4"/>
      <c r="F92" s="4"/>
      <c r="G92" s="4"/>
      <c r="H92" s="4"/>
      <c r="I92" s="4"/>
      <c r="J92" s="4"/>
      <c r="K92" s="4"/>
    </row>
    <row r="93" spans="2:11" x14ac:dyDescent="0.45">
      <c r="B93" s="4" t="str">
        <f>IF(AND(C81&gt;=20200,C81&lt;35200),4225.5+(C81-20200)*0.3,"")</f>
        <v/>
      </c>
      <c r="C93" s="4"/>
      <c r="D93" s="4"/>
      <c r="E93" s="4"/>
      <c r="F93" s="4"/>
      <c r="G93" s="4"/>
      <c r="H93" s="4"/>
      <c r="I93" s="4"/>
      <c r="J93" s="4"/>
      <c r="K93" s="4"/>
    </row>
    <row r="94" spans="2:11" x14ac:dyDescent="0.45">
      <c r="B94" s="4" t="str">
        <f>IF(AND(C81&gt;=35200,C81&lt;60000),8725.5+(C81-35200)*0.37,"")</f>
        <v/>
      </c>
      <c r="C94" s="4"/>
      <c r="D94" s="4"/>
      <c r="E94" s="4"/>
      <c r="F94" s="4"/>
      <c r="G94" s="4"/>
      <c r="H94" s="4"/>
      <c r="I94" s="4"/>
      <c r="J94" s="4"/>
      <c r="K94" s="4"/>
    </row>
    <row r="95" spans="2:11" x14ac:dyDescent="0.45">
      <c r="B95" s="4" t="str">
        <f>IF(AND(C81&gt;=60000,C81&lt;300000),17901.5+(C81-60000)*0.45,"")</f>
        <v/>
      </c>
      <c r="C95" s="4"/>
      <c r="D95" s="4"/>
      <c r="E95" s="4"/>
      <c r="F95" s="4"/>
      <c r="G95" s="4"/>
      <c r="H95" s="4"/>
      <c r="I95" s="4"/>
      <c r="J95" s="4"/>
      <c r="K95" s="4"/>
    </row>
    <row r="96" spans="2:11" x14ac:dyDescent="0.45">
      <c r="B96" s="4" t="str">
        <f>IF(C81&gt;300000,125901.5+(C81-300000)*0.47,"")</f>
        <v/>
      </c>
      <c r="C96" s="4"/>
      <c r="D96" s="4"/>
      <c r="E96" s="4"/>
      <c r="F96" s="4"/>
      <c r="G96" s="4"/>
      <c r="H96" s="4"/>
      <c r="I96" s="4"/>
      <c r="J96" s="4"/>
      <c r="K96" s="4"/>
    </row>
    <row r="97" spans="2:11" x14ac:dyDescent="0.45">
      <c r="B97" s="4" t="s">
        <v>248</v>
      </c>
      <c r="C97" s="33">
        <f>IF(AND(C34&gt;0,L48-C34&gt;0),C90+C82,C107)</f>
        <v>15485.250051826666</v>
      </c>
      <c r="D97" s="4"/>
      <c r="E97" s="4"/>
      <c r="F97" s="4"/>
      <c r="G97" s="4"/>
      <c r="H97" s="4"/>
      <c r="I97" s="4"/>
      <c r="J97" s="4"/>
      <c r="K97" s="4"/>
    </row>
    <row r="98" spans="2:11" x14ac:dyDescent="0.45">
      <c r="B98" s="4" t="s">
        <v>249</v>
      </c>
      <c r="C98" s="34">
        <f>IF(AND(C34&gt;0,L48-C34&gt;0),L47+1980,L47)</f>
        <v>5550</v>
      </c>
      <c r="D98" s="4"/>
      <c r="E98" s="4"/>
      <c r="F98" s="4"/>
      <c r="G98" s="4"/>
      <c r="H98" s="4"/>
      <c r="I98" s="4"/>
      <c r="J98" s="4"/>
      <c r="K98" s="4"/>
    </row>
    <row r="99" spans="2:11" x14ac:dyDescent="0.45">
      <c r="B99" s="4" t="s">
        <v>250</v>
      </c>
      <c r="C99" s="34">
        <f>MAX(B100:B105)</f>
        <v>1054.5</v>
      </c>
      <c r="D99" s="4"/>
      <c r="E99" s="4"/>
      <c r="F99" s="4"/>
      <c r="G99" s="4"/>
      <c r="H99" s="4"/>
      <c r="I99" s="4"/>
      <c r="J99" s="4"/>
      <c r="K99" s="4"/>
    </row>
    <row r="100" spans="2:11" x14ac:dyDescent="0.45">
      <c r="B100" s="4">
        <f>IF(C98&lt;12450,0+(C98)*0.19,"")</f>
        <v>1054.5</v>
      </c>
      <c r="C100" s="4"/>
      <c r="D100" s="4"/>
      <c r="E100" s="4"/>
      <c r="F100" s="4"/>
      <c r="G100" s="4"/>
      <c r="H100" s="4"/>
      <c r="I100" s="4"/>
      <c r="J100" s="4"/>
      <c r="K100" s="4"/>
    </row>
    <row r="101" spans="2:11" x14ac:dyDescent="0.45">
      <c r="B101" s="4" t="str">
        <f>IF(AND(C98&gt;=12450,C98&lt;20200),2365.5+(C98-12450)*0.24,"")</f>
        <v/>
      </c>
      <c r="C101" s="4"/>
      <c r="D101" s="4"/>
      <c r="E101" s="4"/>
      <c r="F101" s="4"/>
      <c r="G101" s="4"/>
      <c r="H101" s="4"/>
      <c r="I101" s="4"/>
      <c r="J101" s="4"/>
      <c r="K101" s="4"/>
    </row>
    <row r="102" spans="2:11" x14ac:dyDescent="0.45">
      <c r="B102" s="4" t="str">
        <f>IF(AND(C98&gt;=20200,C98&lt;35200),4225.5+(C98-20200)*0.3,"")</f>
        <v/>
      </c>
      <c r="C102" s="4"/>
      <c r="D102" s="4"/>
      <c r="E102" s="4"/>
      <c r="F102" s="4"/>
      <c r="G102" s="4"/>
      <c r="H102" s="4"/>
      <c r="I102" s="4"/>
      <c r="J102" s="4"/>
      <c r="K102" s="4"/>
    </row>
    <row r="103" spans="2:11" x14ac:dyDescent="0.45">
      <c r="B103" s="4" t="str">
        <f>IF(AND(C98&gt;=35200,C98&lt;60000),8725.5+(C98-35200)*0.37,"")</f>
        <v/>
      </c>
      <c r="C103" s="4"/>
      <c r="D103" s="4"/>
      <c r="E103" s="4"/>
      <c r="F103" s="4"/>
      <c r="G103" s="4"/>
      <c r="H103" s="4"/>
      <c r="I103" s="4"/>
      <c r="J103" s="4"/>
      <c r="K103" s="4"/>
    </row>
    <row r="104" spans="2:11" x14ac:dyDescent="0.45">
      <c r="B104" s="4" t="str">
        <f>IF(AND(C98&gt;=60000,C98&lt;300000),17901.5+(C98-60000)*0.45,"")</f>
        <v/>
      </c>
      <c r="C104" s="4"/>
      <c r="D104" s="4"/>
      <c r="E104" s="4"/>
      <c r="F104" s="4"/>
      <c r="G104" s="4"/>
      <c r="H104" s="4"/>
      <c r="I104" s="4"/>
      <c r="J104" s="4"/>
      <c r="K104" s="4"/>
    </row>
    <row r="105" spans="2:11" x14ac:dyDescent="0.45">
      <c r="B105" s="4" t="str">
        <f>IF(C98&gt;300000,125901.5+(C98-300000)*0.47,"")</f>
        <v/>
      </c>
      <c r="C105" s="4"/>
      <c r="D105" s="4"/>
      <c r="E105" s="4"/>
      <c r="F105" s="4"/>
      <c r="G105" s="4"/>
      <c r="H105" s="4"/>
      <c r="I105" s="4"/>
      <c r="J105" s="4"/>
      <c r="K105" s="4"/>
    </row>
    <row r="106" spans="2:11" x14ac:dyDescent="0.45">
      <c r="B106" s="4" t="s">
        <v>251</v>
      </c>
      <c r="C106" s="35">
        <f>IF(C97&gt;C99,C97-C99,L59)</f>
        <v>14430.750051826666</v>
      </c>
      <c r="D106" s="4"/>
      <c r="E106" s="4"/>
      <c r="F106" s="4"/>
      <c r="G106" s="4"/>
      <c r="H106" s="4"/>
      <c r="I106" s="4"/>
      <c r="J106" s="4"/>
      <c r="K106" s="4"/>
    </row>
    <row r="107" spans="2:11" x14ac:dyDescent="0.45">
      <c r="B107" s="4" t="s">
        <v>252</v>
      </c>
      <c r="C107" s="34">
        <f>MAX(B108:B114)</f>
        <v>15485.250051826666</v>
      </c>
      <c r="D107" s="4"/>
      <c r="E107" s="4"/>
      <c r="F107" s="4"/>
      <c r="G107" s="4"/>
      <c r="H107" s="4"/>
      <c r="I107" s="4"/>
      <c r="J107" s="4"/>
      <c r="K107" s="4"/>
    </row>
    <row r="108" spans="2:11" x14ac:dyDescent="0.45">
      <c r="B108" s="4" t="str">
        <f>IF(L48&lt;12450,0+(L48)*0.19,"")</f>
        <v/>
      </c>
      <c r="C108" s="4"/>
      <c r="D108" s="4"/>
      <c r="E108" s="4"/>
      <c r="F108" s="4"/>
      <c r="G108" s="4"/>
      <c r="H108" s="4"/>
      <c r="I108" s="4"/>
      <c r="J108" s="4"/>
      <c r="K108" s="4"/>
    </row>
    <row r="109" spans="2:11" x14ac:dyDescent="0.45">
      <c r="B109" s="4" t="str">
        <f>IF(AND(L48&gt;=12450,L48&lt;20200),2365.5+(L48-12450)*0.24,"")</f>
        <v/>
      </c>
      <c r="C109" s="4"/>
      <c r="D109" s="4"/>
      <c r="E109" s="4"/>
      <c r="F109" s="4"/>
      <c r="G109" s="4"/>
      <c r="H109" s="4"/>
      <c r="I109" s="4"/>
      <c r="J109" s="4"/>
      <c r="K109" s="4"/>
    </row>
    <row r="110" spans="2:11" x14ac:dyDescent="0.45">
      <c r="B110" s="4" t="str">
        <f>IF(AND(L48&gt;=20200,L48&lt;35200),4225.5+(L48-20200)*0.3,"")</f>
        <v/>
      </c>
      <c r="C110" s="4"/>
      <c r="D110" s="4"/>
      <c r="E110" s="4"/>
      <c r="F110" s="4"/>
      <c r="G110" s="4"/>
      <c r="H110" s="4"/>
      <c r="I110" s="4"/>
      <c r="J110" s="4"/>
      <c r="K110" s="4"/>
    </row>
    <row r="111" spans="2:11" x14ac:dyDescent="0.45">
      <c r="B111" s="4">
        <f>IF(AND(L48&gt;=35200,L48&lt;60000),8725.5+(L48-35200)*0.37,"")</f>
        <v>15485.250051826666</v>
      </c>
      <c r="C111" s="4"/>
      <c r="D111" s="4"/>
      <c r="E111" s="4"/>
      <c r="F111" s="4"/>
      <c r="G111" s="4"/>
      <c r="H111" s="4"/>
      <c r="I111" s="4"/>
      <c r="J111" s="4"/>
      <c r="K111" s="4"/>
    </row>
    <row r="112" spans="2:11" x14ac:dyDescent="0.45">
      <c r="B112" s="4" t="str">
        <f>IF(AND(L48&gt;=60000,L48&lt;300000),17901.5+(L48-60000)*0.45,"")</f>
        <v/>
      </c>
      <c r="C112" s="4"/>
      <c r="D112" s="4"/>
      <c r="E112" s="4"/>
      <c r="F112" s="4"/>
      <c r="G112" s="4"/>
      <c r="H112" s="4"/>
      <c r="I112" s="4"/>
      <c r="J112" s="4"/>
      <c r="K112" s="4"/>
    </row>
    <row r="113" spans="2:11" x14ac:dyDescent="0.45">
      <c r="B113" s="4" t="str">
        <f>IF(L48&gt;300000,125901.5+(L48-300000)*0.47,"")</f>
        <v/>
      </c>
      <c r="C113" s="4"/>
      <c r="D113" s="4"/>
      <c r="E113" s="4"/>
      <c r="F113" s="4"/>
      <c r="G113" s="4"/>
      <c r="H113" s="4"/>
      <c r="I113" s="4"/>
      <c r="J113" s="4"/>
      <c r="K113" s="4"/>
    </row>
    <row r="114" spans="2:11" x14ac:dyDescent="0.45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x14ac:dyDescent="0.45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x14ac:dyDescent="0.45">
      <c r="B116" s="4" t="s">
        <v>253</v>
      </c>
      <c r="C116" s="4"/>
      <c r="D116" s="4"/>
      <c r="E116" s="4"/>
      <c r="F116" s="4"/>
      <c r="G116" s="4"/>
      <c r="H116" s="4"/>
      <c r="I116" s="4"/>
      <c r="J116" s="4"/>
      <c r="K116" s="4"/>
    </row>
    <row r="117" spans="2:11" x14ac:dyDescent="0.45">
      <c r="B117" s="4" t="s">
        <v>255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x14ac:dyDescent="0.45">
      <c r="B118" s="4" t="s">
        <v>254</v>
      </c>
      <c r="C118" s="4"/>
      <c r="D118" s="4"/>
      <c r="E118" s="4"/>
      <c r="F118" s="4"/>
      <c r="G118" s="4"/>
      <c r="H118" s="4"/>
      <c r="I118" s="4"/>
      <c r="J118" s="4"/>
      <c r="K118" s="4"/>
    </row>
    <row r="119" spans="2:11" x14ac:dyDescent="0.45">
      <c r="B119" s="4">
        <f>IF(AND(L35&lt;=35200,C68=1,C35=1),(L35-(17270+C118+C119))*0.43,0)</f>
        <v>0</v>
      </c>
      <c r="C119" s="4"/>
      <c r="D119" s="4"/>
      <c r="E119" s="4"/>
      <c r="F119" s="4"/>
      <c r="G119" s="4"/>
      <c r="H119" s="4"/>
      <c r="I119" s="4"/>
      <c r="J119" s="4"/>
      <c r="K119" s="4"/>
    </row>
    <row r="120" spans="2:11" x14ac:dyDescent="0.45">
      <c r="B120" s="4">
        <f>IF(AND(L35&lt;=35200,C68=1,C35&gt;1),(L35-(18617+C118+C119))*0.43,0)</f>
        <v>0</v>
      </c>
      <c r="C120" s="4"/>
      <c r="D120" s="4"/>
      <c r="E120" s="4"/>
      <c r="F120" s="4"/>
      <c r="G120" s="4"/>
      <c r="H120" s="4"/>
      <c r="I120" s="4"/>
      <c r="J120" s="4"/>
      <c r="K120" s="4"/>
    </row>
    <row r="121" spans="2:11" x14ac:dyDescent="0.45">
      <c r="B121" s="4">
        <f>IF(AND(L35&lt;=35200,C68=2,C35=0),(L35-(16696+C118+C119))*0.43,0)</f>
        <v>0</v>
      </c>
      <c r="C121" s="4"/>
      <c r="D121" s="4"/>
      <c r="E121" s="4"/>
      <c r="F121" s="4"/>
      <c r="G121" s="4"/>
      <c r="H121" s="4"/>
      <c r="I121" s="4"/>
      <c r="J121" s="4"/>
      <c r="K121" s="4"/>
    </row>
    <row r="122" spans="2:11" x14ac:dyDescent="0.45">
      <c r="B122" s="4">
        <f>IF(AND(L35&lt;=35200,C68=2,C35=1),(L35-(17894+C118+C119))*0.43,0)</f>
        <v>0</v>
      </c>
      <c r="C122" s="4"/>
      <c r="D122" s="4"/>
      <c r="E122" s="4"/>
      <c r="F122" s="4"/>
      <c r="G122" s="4"/>
      <c r="H122" s="4"/>
      <c r="I122" s="4"/>
      <c r="J122" s="4"/>
      <c r="K122" s="4"/>
    </row>
    <row r="123" spans="2:11" x14ac:dyDescent="0.45">
      <c r="B123" s="4">
        <f>IF(AND(L35&lt;=35200,C68=2,C35&gt;1),(L35-(19241+C118+C119))*0.43,0)</f>
        <v>0</v>
      </c>
      <c r="C123" s="4"/>
      <c r="D123" s="4"/>
      <c r="E123" s="4"/>
      <c r="F123" s="4"/>
      <c r="G123" s="4"/>
      <c r="H123" s="4"/>
      <c r="I123" s="4"/>
      <c r="J123" s="4"/>
      <c r="K123" s="4"/>
    </row>
    <row r="124" spans="2:11" x14ac:dyDescent="0.45">
      <c r="B124" s="4">
        <f>IF(AND(L35&lt;=35200,C68=3,C35=0),(L35-(15000+C118+C119))*0.43,0)</f>
        <v>0</v>
      </c>
      <c r="C124" s="4"/>
      <c r="D124" s="4"/>
      <c r="E124" s="4"/>
      <c r="F124" s="4"/>
      <c r="G124" s="4"/>
      <c r="H124" s="4"/>
      <c r="I124" s="4"/>
      <c r="J124" s="4"/>
      <c r="K124" s="4"/>
    </row>
    <row r="125" spans="2:11" x14ac:dyDescent="0.45">
      <c r="B125" s="4">
        <f>IF(AND(L35&lt;=35200,C68=3,C35=1),(L35-(15599+C118+C119))*0.43,0)</f>
        <v>0</v>
      </c>
      <c r="C125" s="4"/>
      <c r="D125" s="4"/>
      <c r="E125" s="4"/>
      <c r="F125" s="4"/>
      <c r="G125" s="4"/>
      <c r="H125" s="4"/>
      <c r="I125" s="4"/>
      <c r="J125" s="4"/>
      <c r="K125" s="4"/>
    </row>
    <row r="126" spans="2:11" x14ac:dyDescent="0.45">
      <c r="B126" s="4">
        <f>IF(AND(L35&lt;=35200,C68=3,C35&gt;1),(L35-(16272+C118+C119))*0.43,0)</f>
        <v>0</v>
      </c>
      <c r="C126" s="4"/>
      <c r="D126" s="4"/>
      <c r="E126" s="4"/>
      <c r="F126" s="4"/>
      <c r="G126" s="4"/>
      <c r="H126" s="4"/>
      <c r="I126" s="4"/>
      <c r="J126" s="4"/>
      <c r="K126" s="4"/>
    </row>
    <row r="127" spans="2:11" x14ac:dyDescent="0.45">
      <c r="B127" s="4" t="s">
        <v>257</v>
      </c>
      <c r="C127" s="4" t="str">
        <f>IF(MAX(B119:B126)&gt;0,"Sí","No")</f>
        <v>No</v>
      </c>
      <c r="D127" s="4"/>
      <c r="E127" s="4"/>
      <c r="F127" s="4"/>
      <c r="G127" s="4"/>
      <c r="H127" s="4"/>
      <c r="I127" s="4"/>
      <c r="J127" s="4"/>
      <c r="K127" s="4"/>
    </row>
    <row r="128" spans="2:11" x14ac:dyDescent="0.45">
      <c r="B128" s="4" t="s">
        <v>258</v>
      </c>
      <c r="C128" s="4">
        <f>MAX(B119:B126)</f>
        <v>0</v>
      </c>
      <c r="D128" s="4"/>
      <c r="E128" s="4"/>
      <c r="F128" s="4"/>
      <c r="G128" s="4"/>
      <c r="H128" s="4"/>
      <c r="I128" s="4"/>
      <c r="J128" s="4"/>
      <c r="K128" s="4"/>
    </row>
    <row r="129" spans="2:11" x14ac:dyDescent="0.45">
      <c r="B129" s="4" t="s">
        <v>256</v>
      </c>
      <c r="C129" s="35">
        <f>IF(C127="No",C106,IF(C106&gt;C128,C128,C106))</f>
        <v>14430.750051826666</v>
      </c>
      <c r="D129" s="4"/>
      <c r="E129" s="4"/>
      <c r="F129" s="4"/>
      <c r="G129" s="4"/>
      <c r="H129" s="4"/>
      <c r="I129" s="4"/>
      <c r="J129" s="4"/>
      <c r="K129" s="4"/>
    </row>
    <row r="130" spans="2:11" x14ac:dyDescent="0.45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x14ac:dyDescent="0.45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x14ac:dyDescent="0.45">
      <c r="B132" s="4" t="s">
        <v>313</v>
      </c>
      <c r="C132" s="4"/>
      <c r="D132" s="4"/>
      <c r="E132" s="4"/>
      <c r="F132" s="4"/>
      <c r="G132" s="4"/>
      <c r="H132" s="4"/>
      <c r="I132" s="4"/>
      <c r="J132" s="4"/>
      <c r="K132" s="4"/>
    </row>
    <row r="133" spans="2:11" x14ac:dyDescent="0.45">
      <c r="B133" s="69" t="s">
        <v>311</v>
      </c>
      <c r="C133" s="4" t="s">
        <v>22</v>
      </c>
      <c r="D133" s="33">
        <f>Datos!E64</f>
        <v>985.93</v>
      </c>
      <c r="E133" s="4">
        <f>IF(AND($C$15=B133,$C$17=C133),D133,0)</f>
        <v>0</v>
      </c>
      <c r="F133" s="4"/>
      <c r="G133" s="4">
        <f>IF($C$16=1,0.25,IF($C$16=2,0.4,IF($C$16=$D$10,0.6,0)))</f>
        <v>0</v>
      </c>
      <c r="H133" s="4"/>
      <c r="I133" s="4">
        <f>E133*G133</f>
        <v>0</v>
      </c>
      <c r="J133" s="4"/>
      <c r="K133" s="4"/>
    </row>
    <row r="134" spans="2:11" x14ac:dyDescent="0.45">
      <c r="B134" s="69" t="s">
        <v>311</v>
      </c>
      <c r="C134" s="4" t="s">
        <v>23</v>
      </c>
      <c r="D134" s="33">
        <f>Datos!E65</f>
        <v>886.61</v>
      </c>
      <c r="E134" s="4">
        <f t="shared" ref="E134:E148" si="2">IF(AND($C$15=B134,$C$17=C134),D134,0)</f>
        <v>0</v>
      </c>
      <c r="F134" s="4"/>
      <c r="G134" s="4">
        <f t="shared" ref="G134:G148" si="3">IF($C$16=1,0.25,IF($C$16=2,0.4,IF($C$16=$D$10,0.6,0)))</f>
        <v>0</v>
      </c>
      <c r="H134" s="4"/>
      <c r="I134" s="4">
        <f t="shared" ref="I134:I148" si="4">E134*G134</f>
        <v>0</v>
      </c>
      <c r="J134" s="4"/>
      <c r="K134" s="4"/>
    </row>
    <row r="135" spans="2:11" x14ac:dyDescent="0.45">
      <c r="B135" s="69" t="s">
        <v>311</v>
      </c>
      <c r="C135" s="4" t="s">
        <v>24</v>
      </c>
      <c r="D135" s="33">
        <f>Datos!E66</f>
        <v>835.39</v>
      </c>
      <c r="E135" s="4">
        <f t="shared" si="2"/>
        <v>0</v>
      </c>
      <c r="F135" s="4"/>
      <c r="G135" s="4">
        <f t="shared" si="3"/>
        <v>0</v>
      </c>
      <c r="H135" s="4"/>
      <c r="I135" s="4">
        <f t="shared" si="4"/>
        <v>0</v>
      </c>
      <c r="J135" s="4"/>
      <c r="K135" s="4"/>
    </row>
    <row r="136" spans="2:11" x14ac:dyDescent="0.45">
      <c r="B136" s="69" t="s">
        <v>311</v>
      </c>
      <c r="C136" s="4" t="s">
        <v>25</v>
      </c>
      <c r="D136" s="33">
        <f>Datos!E67</f>
        <v>790.05</v>
      </c>
      <c r="E136" s="4">
        <f t="shared" si="2"/>
        <v>0</v>
      </c>
      <c r="F136" s="4"/>
      <c r="G136" s="4">
        <f t="shared" si="3"/>
        <v>0</v>
      </c>
      <c r="H136" s="4"/>
      <c r="I136" s="4">
        <f t="shared" si="4"/>
        <v>0</v>
      </c>
      <c r="J136" s="4"/>
      <c r="K136" s="4"/>
    </row>
    <row r="137" spans="2:11" x14ac:dyDescent="0.45">
      <c r="B137" s="69" t="s">
        <v>310</v>
      </c>
      <c r="C137" s="4" t="s">
        <v>22</v>
      </c>
      <c r="D137" s="33">
        <f>Datos!E32</f>
        <v>885.8</v>
      </c>
      <c r="E137" s="4">
        <f t="shared" si="2"/>
        <v>0</v>
      </c>
      <c r="F137" s="4"/>
      <c r="G137" s="4">
        <f t="shared" si="3"/>
        <v>0</v>
      </c>
      <c r="H137" s="4"/>
      <c r="I137" s="4">
        <f t="shared" si="4"/>
        <v>0</v>
      </c>
      <c r="J137" s="4"/>
      <c r="K137" s="4"/>
    </row>
    <row r="138" spans="2:11" x14ac:dyDescent="0.45">
      <c r="B138" s="69" t="s">
        <v>310</v>
      </c>
      <c r="C138" s="4" t="s">
        <v>23</v>
      </c>
      <c r="D138" s="33">
        <f>Datos!E33</f>
        <v>835.11</v>
      </c>
      <c r="E138" s="4">
        <f t="shared" si="2"/>
        <v>0</v>
      </c>
      <c r="F138" s="4"/>
      <c r="G138" s="4">
        <f t="shared" si="3"/>
        <v>0</v>
      </c>
      <c r="H138" s="4"/>
      <c r="I138" s="4">
        <f t="shared" si="4"/>
        <v>0</v>
      </c>
      <c r="J138" s="4"/>
      <c r="K138" s="4"/>
    </row>
    <row r="139" spans="2:11" x14ac:dyDescent="0.45">
      <c r="B139" s="69" t="s">
        <v>310</v>
      </c>
      <c r="C139" s="4" t="s">
        <v>24</v>
      </c>
      <c r="D139" s="33">
        <f>Datos!E34</f>
        <v>688.09</v>
      </c>
      <c r="E139" s="4">
        <f t="shared" si="2"/>
        <v>0</v>
      </c>
      <c r="F139" s="4"/>
      <c r="G139" s="4">
        <f t="shared" si="3"/>
        <v>0</v>
      </c>
      <c r="H139" s="4"/>
      <c r="I139" s="4">
        <f t="shared" si="4"/>
        <v>0</v>
      </c>
      <c r="J139" s="4"/>
      <c r="K139" s="4"/>
    </row>
    <row r="140" spans="2:11" x14ac:dyDescent="0.45">
      <c r="B140" s="69" t="s">
        <v>310</v>
      </c>
      <c r="C140" s="4" t="s">
        <v>25</v>
      </c>
      <c r="D140" s="33">
        <f>Datos!E35</f>
        <v>563.41</v>
      </c>
      <c r="E140" s="4">
        <f t="shared" si="2"/>
        <v>0</v>
      </c>
      <c r="F140" s="4"/>
      <c r="G140" s="4">
        <f t="shared" si="3"/>
        <v>0</v>
      </c>
      <c r="H140" s="4"/>
      <c r="I140" s="4">
        <f t="shared" si="4"/>
        <v>0</v>
      </c>
      <c r="J140" s="4"/>
      <c r="K140" s="4"/>
    </row>
    <row r="141" spans="2:11" x14ac:dyDescent="0.45">
      <c r="B141" s="69" t="s">
        <v>310</v>
      </c>
      <c r="C141" s="4" t="s">
        <v>26</v>
      </c>
      <c r="D141" s="33">
        <f>Datos!E36</f>
        <v>450.29</v>
      </c>
      <c r="E141" s="4">
        <f t="shared" si="2"/>
        <v>0</v>
      </c>
      <c r="F141" s="4"/>
      <c r="G141" s="4">
        <f t="shared" si="3"/>
        <v>0</v>
      </c>
      <c r="H141" s="4"/>
      <c r="I141" s="4">
        <f t="shared" si="4"/>
        <v>0</v>
      </c>
      <c r="J141" s="4"/>
      <c r="K141" s="4"/>
    </row>
    <row r="142" spans="2:11" x14ac:dyDescent="0.45">
      <c r="B142" s="69" t="s">
        <v>310</v>
      </c>
      <c r="C142" s="4" t="s">
        <v>27</v>
      </c>
      <c r="D142" s="33">
        <f>Datos!E37</f>
        <v>333.27</v>
      </c>
      <c r="E142" s="4">
        <f t="shared" si="2"/>
        <v>0</v>
      </c>
      <c r="F142" s="4"/>
      <c r="G142" s="4">
        <f t="shared" si="3"/>
        <v>0</v>
      </c>
      <c r="H142" s="4"/>
      <c r="I142" s="4">
        <f t="shared" si="4"/>
        <v>0</v>
      </c>
      <c r="J142" s="4"/>
      <c r="K142" s="4"/>
    </row>
    <row r="143" spans="2:11" x14ac:dyDescent="0.45">
      <c r="B143" s="4" t="s">
        <v>130</v>
      </c>
      <c r="C143" s="4" t="s">
        <v>22</v>
      </c>
      <c r="D143" s="33">
        <f>Datos!E48</f>
        <v>968.99</v>
      </c>
      <c r="E143" s="4">
        <f t="shared" si="2"/>
        <v>0</v>
      </c>
      <c r="F143" s="4"/>
      <c r="G143" s="4">
        <f t="shared" si="3"/>
        <v>0</v>
      </c>
      <c r="H143" s="4"/>
      <c r="I143" s="4">
        <f t="shared" si="4"/>
        <v>0</v>
      </c>
      <c r="J143" s="4"/>
      <c r="K143" s="4"/>
    </row>
    <row r="144" spans="2:11" x14ac:dyDescent="0.45">
      <c r="B144" s="4" t="s">
        <v>130</v>
      </c>
      <c r="C144" s="4" t="s">
        <v>23</v>
      </c>
      <c r="D144" s="33">
        <f>Datos!E49</f>
        <v>918.31</v>
      </c>
      <c r="E144" s="4">
        <f t="shared" si="2"/>
        <v>0</v>
      </c>
      <c r="F144" s="4"/>
      <c r="G144" s="4">
        <f t="shared" si="3"/>
        <v>0</v>
      </c>
      <c r="H144" s="4"/>
      <c r="I144" s="4">
        <f t="shared" si="4"/>
        <v>0</v>
      </c>
      <c r="J144" s="4"/>
      <c r="K144" s="4"/>
    </row>
    <row r="145" spans="2:11" x14ac:dyDescent="0.45">
      <c r="B145" s="4" t="s">
        <v>130</v>
      </c>
      <c r="C145" s="4" t="s">
        <v>24</v>
      </c>
      <c r="D145" s="33">
        <f>Datos!E50</f>
        <v>771.25</v>
      </c>
      <c r="E145" s="4">
        <f t="shared" si="2"/>
        <v>0</v>
      </c>
      <c r="F145" s="4"/>
      <c r="G145" s="4">
        <f t="shared" si="3"/>
        <v>0</v>
      </c>
      <c r="H145" s="4"/>
      <c r="I145" s="4">
        <f t="shared" si="4"/>
        <v>0</v>
      </c>
      <c r="J145" s="4"/>
      <c r="K145" s="4"/>
    </row>
    <row r="146" spans="2:11" x14ac:dyDescent="0.45">
      <c r="B146" s="4" t="s">
        <v>130</v>
      </c>
      <c r="C146" s="4" t="s">
        <v>25</v>
      </c>
      <c r="D146" s="33">
        <f>Datos!E51</f>
        <v>646.59</v>
      </c>
      <c r="E146" s="4">
        <f t="shared" si="2"/>
        <v>0</v>
      </c>
      <c r="F146" s="4"/>
      <c r="G146" s="4">
        <f t="shared" si="3"/>
        <v>0</v>
      </c>
      <c r="H146" s="4"/>
      <c r="I146" s="4">
        <f t="shared" si="4"/>
        <v>0</v>
      </c>
      <c r="J146" s="4"/>
      <c r="K146" s="4"/>
    </row>
    <row r="147" spans="2:11" x14ac:dyDescent="0.45">
      <c r="B147" s="4" t="s">
        <v>130</v>
      </c>
      <c r="C147" s="4" t="s">
        <v>26</v>
      </c>
      <c r="D147" s="33">
        <f>Datos!E52</f>
        <v>533.49</v>
      </c>
      <c r="E147" s="4">
        <f t="shared" si="2"/>
        <v>0</v>
      </c>
      <c r="F147" s="4"/>
      <c r="G147" s="4">
        <f t="shared" si="3"/>
        <v>0</v>
      </c>
      <c r="H147" s="4"/>
      <c r="I147" s="4">
        <f t="shared" si="4"/>
        <v>0</v>
      </c>
      <c r="J147" s="4"/>
      <c r="K147" s="4"/>
    </row>
    <row r="148" spans="2:11" x14ac:dyDescent="0.45">
      <c r="B148" s="4" t="s">
        <v>130</v>
      </c>
      <c r="C148" s="4" t="s">
        <v>27</v>
      </c>
      <c r="D148" s="33">
        <f>Datos!E53</f>
        <v>416.45</v>
      </c>
      <c r="E148" s="4">
        <f t="shared" si="2"/>
        <v>0</v>
      </c>
      <c r="F148" s="4"/>
      <c r="G148" s="4">
        <f t="shared" si="3"/>
        <v>0</v>
      </c>
      <c r="H148" s="4"/>
      <c r="I148" s="4">
        <f t="shared" si="4"/>
        <v>0</v>
      </c>
      <c r="J148" s="4"/>
      <c r="K148" s="4"/>
    </row>
    <row r="149" spans="2:11" x14ac:dyDescent="0.45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x14ac:dyDescent="0.45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x14ac:dyDescent="0.45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x14ac:dyDescent="0.45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x14ac:dyDescent="0.45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x14ac:dyDescent="0.45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x14ac:dyDescent="0.45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x14ac:dyDescent="0.45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x14ac:dyDescent="0.45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x14ac:dyDescent="0.45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x14ac:dyDescent="0.45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x14ac:dyDescent="0.45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x14ac:dyDescent="0.45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x14ac:dyDescent="0.45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x14ac:dyDescent="0.45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x14ac:dyDescent="0.45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x14ac:dyDescent="0.45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x14ac:dyDescent="0.45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x14ac:dyDescent="0.45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x14ac:dyDescent="0.45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x14ac:dyDescent="0.45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x14ac:dyDescent="0.45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x14ac:dyDescent="0.45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x14ac:dyDescent="0.45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x14ac:dyDescent="0.45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x14ac:dyDescent="0.45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x14ac:dyDescent="0.45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x14ac:dyDescent="0.45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x14ac:dyDescent="0.45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x14ac:dyDescent="0.45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x14ac:dyDescent="0.45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x14ac:dyDescent="0.45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x14ac:dyDescent="0.45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x14ac:dyDescent="0.45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x14ac:dyDescent="0.45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x14ac:dyDescent="0.45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x14ac:dyDescent="0.45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x14ac:dyDescent="0.45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x14ac:dyDescent="0.45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x14ac:dyDescent="0.45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x14ac:dyDescent="0.45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x14ac:dyDescent="0.45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x14ac:dyDescent="0.45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x14ac:dyDescent="0.45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x14ac:dyDescent="0.45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x14ac:dyDescent="0.45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x14ac:dyDescent="0.45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x14ac:dyDescent="0.45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x14ac:dyDescent="0.45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x14ac:dyDescent="0.45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x14ac:dyDescent="0.45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x14ac:dyDescent="0.45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x14ac:dyDescent="0.45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x14ac:dyDescent="0.45">
      <c r="B202" s="93"/>
      <c r="C202" s="93"/>
      <c r="D202" s="93"/>
    </row>
    <row r="203" spans="2:11" x14ac:dyDescent="0.45">
      <c r="B203" s="93"/>
      <c r="C203" s="93"/>
      <c r="D203" s="93"/>
    </row>
    <row r="204" spans="2:11" x14ac:dyDescent="0.45">
      <c r="B204" s="93"/>
      <c r="C204" s="93"/>
      <c r="D204" s="93"/>
    </row>
    <row r="205" spans="2:11" x14ac:dyDescent="0.45">
      <c r="B205" s="93"/>
      <c r="C205" s="93"/>
      <c r="D205" s="93"/>
    </row>
    <row r="206" spans="2:11" x14ac:dyDescent="0.45">
      <c r="B206" s="93"/>
      <c r="C206" s="93"/>
      <c r="D206" s="93"/>
    </row>
    <row r="207" spans="2:11" x14ac:dyDescent="0.45">
      <c r="B207" s="93"/>
      <c r="C207" s="93"/>
      <c r="D207" s="93"/>
    </row>
    <row r="208" spans="2:11" x14ac:dyDescent="0.45">
      <c r="B208" s="93"/>
      <c r="C208" s="93"/>
      <c r="D208" s="93"/>
    </row>
    <row r="209" spans="2:4" x14ac:dyDescent="0.45">
      <c r="B209" s="93"/>
      <c r="C209" s="93"/>
      <c r="D209" s="93"/>
    </row>
    <row r="210" spans="2:4" x14ac:dyDescent="0.45">
      <c r="B210" s="93"/>
      <c r="C210" s="93"/>
      <c r="D210" s="93"/>
    </row>
    <row r="211" spans="2:4" x14ac:dyDescent="0.45">
      <c r="B211" s="93"/>
      <c r="C211" s="93"/>
      <c r="D211" s="93"/>
    </row>
    <row r="212" spans="2:4" x14ac:dyDescent="0.45">
      <c r="B212" s="93"/>
      <c r="C212" s="93"/>
      <c r="D212" s="93"/>
    </row>
    <row r="213" spans="2:4" x14ac:dyDescent="0.45">
      <c r="B213" s="93"/>
      <c r="C213" s="93"/>
      <c r="D213" s="93"/>
    </row>
    <row r="214" spans="2:4" x14ac:dyDescent="0.45">
      <c r="B214" s="93"/>
      <c r="C214" s="93"/>
      <c r="D214" s="93"/>
    </row>
    <row r="215" spans="2:4" x14ac:dyDescent="0.45">
      <c r="B215" s="93"/>
      <c r="C215" s="93"/>
      <c r="D215" s="93"/>
    </row>
    <row r="216" spans="2:4" x14ac:dyDescent="0.45">
      <c r="B216" s="93"/>
      <c r="C216" s="93"/>
      <c r="D216" s="93"/>
    </row>
  </sheetData>
  <sheetProtection algorithmName="SHA-512" hashValue="cCwcmFQlGZVfVCUHOAiWbHXs7cMvTSllP8wlaHcI8rpGZFWXfWCkRe+B/WWDFYY8p26BYAT3yIq4UvVD6hFYrA==" saltValue="oC6w0jz1J6b/l+NgmHz3iQ==" spinCount="100000" sheet="1" objects="1" scenarios="1"/>
  <mergeCells count="14">
    <mergeCell ref="J2:K2"/>
    <mergeCell ref="M4:M5"/>
    <mergeCell ref="B28:C28"/>
    <mergeCell ref="B14:C14"/>
    <mergeCell ref="B69:C69"/>
    <mergeCell ref="B3:C3"/>
    <mergeCell ref="J3:K3"/>
    <mergeCell ref="J4:K5"/>
    <mergeCell ref="L4:L5"/>
    <mergeCell ref="B31:C31"/>
    <mergeCell ref="B41:B43"/>
    <mergeCell ref="C41:C43"/>
    <mergeCell ref="B44:B46"/>
    <mergeCell ref="C44:C46"/>
  </mergeCells>
  <dataValidations count="20">
    <dataValidation type="list" allowBlank="1" showInputMessage="1" showErrorMessage="1" sqref="B69" xr:uid="{00000000-0002-0000-0D00-000000000000}">
      <formula1>$A$68:$A$70</formula1>
    </dataValidation>
    <dataValidation type="list" allowBlank="1" showInputMessage="1" showErrorMessage="1" sqref="C38 C55 C50 C60 C65" xr:uid="{00000000-0002-0000-0D00-000001000000}">
      <formula1>$A$38:$A$42</formula1>
    </dataValidation>
    <dataValidation type="whole" allowBlank="1" showInputMessage="1" showErrorMessage="1" sqref="C44" xr:uid="{00000000-0002-0000-0D00-000002000000}">
      <formula1>0</formula1>
      <formula2>C40</formula2>
    </dataValidation>
    <dataValidation type="whole" allowBlank="1" showInputMessage="1" showErrorMessage="1" sqref="C52 C62 C57 C67" xr:uid="{00000000-0002-0000-0D00-000003000000}">
      <formula1>0</formula1>
      <formula2>20</formula2>
    </dataValidation>
    <dataValidation type="whole" allowBlank="1" showInputMessage="1" showErrorMessage="1" sqref="C49 C59 C54 C64" xr:uid="{00000000-0002-0000-0D00-000004000000}">
      <formula1>18</formula1>
      <formula2>130</formula2>
    </dataValidation>
    <dataValidation type="whole" allowBlank="1" showInputMessage="1" showErrorMessage="1" sqref="C36 C40:C41" xr:uid="{00000000-0002-0000-0D00-000005000000}">
      <formula1>0</formula1>
      <formula2>C35</formula2>
    </dataValidation>
    <dataValidation type="whole" allowBlank="1" showInputMessage="1" showErrorMessage="1" sqref="C35" xr:uid="{00000000-0002-0000-0D00-000006000000}">
      <formula1>0</formula1>
      <formula2>100</formula2>
    </dataValidation>
    <dataValidation type="list" allowBlank="1" showInputMessage="1" showErrorMessage="1" sqref="C29" xr:uid="{00000000-0002-0000-0D00-000007000000}">
      <formula1>$A$35:$A$37</formula1>
    </dataValidation>
    <dataValidation type="whole" allowBlank="1" showInputMessage="1" showErrorMessage="1" sqref="C27" xr:uid="{00000000-0002-0000-0D00-000009000000}">
      <formula1>0</formula1>
      <formula2>10000</formula2>
    </dataValidation>
    <dataValidation type="whole" allowBlank="1" showInputMessage="1" showErrorMessage="1" sqref="C25" xr:uid="{00000000-0002-0000-0D00-00000A000000}">
      <formula1>0</formula1>
      <formula2>30</formula2>
    </dataValidation>
    <dataValidation type="list" allowBlank="1" showInputMessage="1" showErrorMessage="1" sqref="C26 C47 C61 C56 C18:C24 C51 C39 C37 C32 C66" xr:uid="{00000000-0002-0000-0D00-00000B000000}">
      <formula1>$H$13:$H$14</formula1>
    </dataValidation>
    <dataValidation type="list" allowBlank="1" showInputMessage="1" showErrorMessage="1" sqref="C13" xr:uid="{00000000-0002-0000-0D00-00000C000000}">
      <formula1>$D$18:$D$20</formula1>
    </dataValidation>
    <dataValidation type="decimal" allowBlank="1" showInputMessage="1" showErrorMessage="1" sqref="C4:C5" xr:uid="{00000000-0002-0000-0D00-00000D000000}">
      <formula1>0</formula1>
      <formula2>100</formula2>
    </dataValidation>
    <dataValidation type="whole" allowBlank="1" showInputMessage="1" showErrorMessage="1" sqref="C12" xr:uid="{00000000-0002-0000-0D00-00000E000000}">
      <formula1>0</formula1>
      <formula2>5</formula2>
    </dataValidation>
    <dataValidation type="whole" allowBlank="1" showInputMessage="1" showErrorMessage="1" sqref="C6:C10" xr:uid="{00000000-0002-0000-0D00-00000F000000}">
      <formula1>0</formula1>
      <formula2>14</formula2>
    </dataValidation>
    <dataValidation type="list" allowBlank="1" showInputMessage="1" showErrorMessage="1" sqref="C11" xr:uid="{00000000-0002-0000-0D00-000010000000}">
      <formula1>$J$12:$J$14</formula1>
    </dataValidation>
    <dataValidation type="list" allowBlank="1" showInputMessage="1" showErrorMessage="1" sqref="C15" xr:uid="{00000000-0002-0000-0D00-000011000000}">
      <formula1>$D$5:$D$7</formula1>
    </dataValidation>
    <dataValidation type="list" allowBlank="1" showInputMessage="1" showErrorMessage="1" sqref="C16" xr:uid="{00000000-0002-0000-0D00-000012000000}">
      <formula1>$D$8:$D$10</formula1>
    </dataValidation>
    <dataValidation type="list" allowBlank="1" showInputMessage="1" showErrorMessage="1" sqref="C17" xr:uid="{00000000-0002-0000-0D00-000013000000}">
      <formula1>$F$13:$F$18</formula1>
    </dataValidation>
    <dataValidation type="whole" allowBlank="1" showInputMessage="1" showErrorMessage="1" sqref="C30" xr:uid="{87D93EB1-761D-47C4-ACAC-A35D948B7F77}">
      <formula1>1980</formula1>
      <formula2>2024</formula2>
    </dataValidation>
  </dataValidations>
  <hyperlinks>
    <hyperlink ref="B2" location="Inicio!A1" display="Ir a inicio" xr:uid="{00000000-0004-0000-0D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F31" sqref="F31"/>
    </sheetView>
  </sheetViews>
  <sheetFormatPr baseColWidth="10" defaultRowHeight="14.25" x14ac:dyDescent="0.4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Q36"/>
  <sheetViews>
    <sheetView showRowColHeaders="0" tabSelected="1" zoomScaleNormal="100" workbookViewId="0">
      <selection activeCell="R1" sqref="R1"/>
    </sheetView>
  </sheetViews>
  <sheetFormatPr baseColWidth="10" defaultRowHeight="14.25" x14ac:dyDescent="0.45"/>
  <cols>
    <col min="1" max="1" width="5.33203125" style="1" customWidth="1"/>
    <col min="2" max="16384" width="10.6640625" style="1"/>
  </cols>
  <sheetData>
    <row r="1" spans="2:17" x14ac:dyDescent="0.45">
      <c r="O1" s="115"/>
    </row>
    <row r="4" spans="2:17" ht="28.9" customHeight="1" x14ac:dyDescent="0.45"/>
    <row r="5" spans="2:17" ht="47.65" customHeight="1" x14ac:dyDescent="0.45"/>
    <row r="6" spans="2:17" ht="49.15" hidden="1" customHeight="1" x14ac:dyDescent="0.45"/>
    <row r="7" spans="2:17" hidden="1" x14ac:dyDescent="0.45"/>
    <row r="8" spans="2:17" x14ac:dyDescent="0.45">
      <c r="L8" s="114"/>
    </row>
    <row r="9" spans="2:17" ht="0.75" customHeight="1" x14ac:dyDescent="0.45"/>
    <row r="10" spans="2:17" ht="6.4" hidden="1" customHeight="1" x14ac:dyDescent="0.45"/>
    <row r="11" spans="2:17" x14ac:dyDescent="0.45">
      <c r="L11"/>
    </row>
    <row r="12" spans="2:17" x14ac:dyDescent="0.45">
      <c r="Q12"/>
    </row>
    <row r="16" spans="2:17" x14ac:dyDescent="0.45">
      <c r="B16" s="84" t="s">
        <v>290</v>
      </c>
      <c r="D16" s="84"/>
      <c r="E16" s="84"/>
      <c r="F16" s="84" t="s">
        <v>291</v>
      </c>
      <c r="H16" s="84"/>
      <c r="I16" s="84"/>
      <c r="J16" s="84" t="s">
        <v>292</v>
      </c>
      <c r="K16" s="84"/>
      <c r="M16" s="84"/>
      <c r="N16" s="84" t="s">
        <v>293</v>
      </c>
      <c r="O16" s="84"/>
    </row>
    <row r="17" spans="2:15" x14ac:dyDescent="0.45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2:15" x14ac:dyDescent="0.45"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2:15" x14ac:dyDescent="0.45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spans="2:15" x14ac:dyDescent="0.45"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spans="2:15" x14ac:dyDescent="0.45"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spans="2:15" x14ac:dyDescent="0.45">
      <c r="B22" s="84" t="s">
        <v>294</v>
      </c>
      <c r="D22" s="84"/>
      <c r="E22" s="84"/>
      <c r="F22" s="84" t="s">
        <v>295</v>
      </c>
      <c r="H22"/>
      <c r="I22" s="84"/>
      <c r="J22" s="84" t="s">
        <v>296</v>
      </c>
      <c r="K22" s="84"/>
      <c r="M22" s="84"/>
      <c r="N22" s="3" t="s">
        <v>297</v>
      </c>
      <c r="O22" s="84"/>
    </row>
    <row r="23" spans="2:15" x14ac:dyDescent="0.45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2:15" x14ac:dyDescent="0.45">
      <c r="B24" s="84"/>
      <c r="C24" s="84"/>
      <c r="D24" s="84"/>
      <c r="E24" s="84"/>
      <c r="F24" s="84"/>
      <c r="G24" s="84"/>
      <c r="H24" s="84"/>
      <c r="I24" s="84"/>
      <c r="K24" s="84"/>
      <c r="L24" s="84"/>
      <c r="M24" s="84"/>
      <c r="N24"/>
      <c r="O24" s="84"/>
    </row>
    <row r="25" spans="2:15" x14ac:dyDescent="0.45">
      <c r="B25" s="84"/>
      <c r="C25" s="84"/>
      <c r="D25" s="84"/>
      <c r="E25" s="84"/>
      <c r="F25"/>
      <c r="G25"/>
      <c r="H25" s="84"/>
      <c r="I25" s="84"/>
      <c r="J25" s="84"/>
      <c r="K25"/>
      <c r="L25" s="84"/>
      <c r="M25"/>
      <c r="N25" s="84"/>
      <c r="O25" s="84"/>
    </row>
    <row r="26" spans="2:15" x14ac:dyDescent="0.45">
      <c r="G26"/>
      <c r="I26"/>
      <c r="K26"/>
    </row>
    <row r="28" spans="2:15" x14ac:dyDescent="0.45">
      <c r="B28" s="84" t="s">
        <v>298</v>
      </c>
      <c r="F28" s="84" t="s">
        <v>299</v>
      </c>
      <c r="J28" s="84" t="s">
        <v>300</v>
      </c>
      <c r="N28" s="84" t="s">
        <v>301</v>
      </c>
    </row>
    <row r="31" spans="2:15" x14ac:dyDescent="0.45">
      <c r="E31"/>
      <c r="G31"/>
    </row>
    <row r="34" spans="2:15" x14ac:dyDescent="0.45">
      <c r="B34" s="3" t="s">
        <v>304</v>
      </c>
      <c r="F34" s="3" t="s">
        <v>305</v>
      </c>
      <c r="J34" s="3" t="s">
        <v>302</v>
      </c>
      <c r="N34" s="3" t="s">
        <v>303</v>
      </c>
    </row>
    <row r="36" spans="2:15" x14ac:dyDescent="0.45">
      <c r="O36"/>
    </row>
  </sheetData>
  <sheetProtection algorithmName="SHA-512" hashValue="Yfvr1x41PvPfeMLTx1e4QXZOae+qwxT2MCyaNwJitg1QP23QkK0nwEaYK/skFOae41H3Sz56tVrsKTTOG/0gjg==" saltValue="zLhIZH5H63LU5QgU6dCcbQ==" spinCount="100000" sheet="1" objects="1" scenarios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37"/>
  <sheetViews>
    <sheetView showRowColHeaders="0" zoomScaleNormal="100" workbookViewId="0">
      <selection activeCell="C4" sqref="C4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L4-SUM(L27:L31)</f>
        <v>2481.0237023176815</v>
      </c>
      <c r="M3" s="73">
        <f>M4-SUM(M27:M31)</f>
        <v>2073.0950860939124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SUM(L6:L25)</f>
        <v>3230.7</v>
      </c>
      <c r="M4" s="157">
        <f>SUM(M6:M25)</f>
        <v>2699.5099999999998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ROUND((C4/100)*Datos!E4,2)</f>
        <v>1387.24</v>
      </c>
      <c r="M6" s="52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ROUND(($C$4/100)*Datos!E8,2)</f>
        <v>873.38</v>
      </c>
      <c r="M7" s="53">
        <f>L7</f>
        <v>873.38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ROUND(($C$4/100)*Datos!E12,2)</f>
        <v>970.08</v>
      </c>
      <c r="M8" s="53">
        <f>L8</f>
        <v>970.08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05" t="s">
        <v>278</v>
      </c>
      <c r="C11" s="69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IF(C13=D14,ROUND(C4*MAX(E27:E32,G27:G32)/100,2),0)</f>
        <v>0</v>
      </c>
      <c r="M11" s="53">
        <f t="shared" ref="M11:M25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IF(C13=D16,ROUND(C4*MAX(F27:F31,H27:H31)/100,2),0)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65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IF(C13=D15,ROUND(C4*MAX(F27:F31,H27:H31)/100,2),0)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65" thickBot="1" x14ac:dyDescent="0.5">
      <c r="A14" s="4"/>
      <c r="B14" s="129" t="s">
        <v>124</v>
      </c>
      <c r="C14" s="18"/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IF(C13=D17,ROUND(Datos!E77*'Catedráticos EA'!C4/100,2),0)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65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">
        <v>273</v>
      </c>
      <c r="K15" s="61"/>
      <c r="L15" s="53">
        <f>IF(D21&gt;0,ROUND(C4*MAX(E27:E33,G27:G33)*D21/100,2),0)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.1499999999999999" hidden="1" customHeight="1" thickBot="1" x14ac:dyDescent="0.5">
      <c r="A16" s="4"/>
      <c r="B16" s="23" t="s">
        <v>314</v>
      </c>
      <c r="C16" s="18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tr">
        <f>B17</f>
        <v>-</v>
      </c>
      <c r="K16" s="61"/>
      <c r="L16" s="53">
        <f>IF(C17="Sí",ROUND(Datos!E86*'Catedráticos EA'!C4/100,2),0)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3.9" hidden="1" customHeight="1" thickBot="1" x14ac:dyDescent="0.5">
      <c r="A17" s="4"/>
      <c r="B17" s="23" t="s">
        <v>314</v>
      </c>
      <c r="C17" s="18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 t="str">
        <f>B18</f>
        <v>.</v>
      </c>
      <c r="K17" s="61"/>
      <c r="L17" s="53">
        <f>IF(C18="Sí",ROUND(Datos!E87*'Catedráticos EA'!C4/100,2),0)</f>
        <v>0</v>
      </c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65" hidden="1" thickBot="1" x14ac:dyDescent="0.5">
      <c r="A18" s="4"/>
      <c r="B18" s="23" t="s">
        <v>315</v>
      </c>
      <c r="C18" s="18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 t="str">
        <f>B19</f>
        <v>.</v>
      </c>
      <c r="K18" s="61"/>
      <c r="L18" s="53">
        <f>IF(C19="Sí",ROUND(Datos!E89*'Catedráticos EA'!C4/100,2),0)</f>
        <v>0</v>
      </c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idden="1" x14ac:dyDescent="0.45">
      <c r="A19" s="4"/>
      <c r="B19" s="24" t="s">
        <v>315</v>
      </c>
      <c r="C19" s="95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 t="str">
        <f>B20</f>
        <v>.</v>
      </c>
      <c r="K19" s="61"/>
      <c r="L19" s="53">
        <f>IF(C20="Sí",ROUND(Datos!E90*'Catedráticos EA'!C4/100,2),0)</f>
        <v>0</v>
      </c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5.75" customHeight="1" x14ac:dyDescent="0.45">
      <c r="A20" s="4"/>
      <c r="B20" s="105" t="s">
        <v>315</v>
      </c>
      <c r="C20" s="69" t="s">
        <v>138</v>
      </c>
      <c r="D20" s="4" t="s">
        <v>277</v>
      </c>
      <c r="E20" s="4"/>
      <c r="F20" s="4"/>
      <c r="G20" s="4"/>
      <c r="H20" s="4"/>
      <c r="I20" s="4"/>
      <c r="J20" s="36" t="s">
        <v>48</v>
      </c>
      <c r="K20" s="61"/>
      <c r="L20" s="53">
        <f>IF(C15="Sí",ROUND(Datos!E91*'Catedráticos EA'!C4/100,2),0)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0.4" hidden="1" customHeight="1" thickBot="1" x14ac:dyDescent="0.5">
      <c r="A21" s="4"/>
      <c r="B21" s="105" t="s">
        <v>315</v>
      </c>
      <c r="C21" s="69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IF(C22="Sí",ROUND(Datos!E97*'Catedráticos EA'!C4/100,2),0)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3.75" hidden="1" customHeight="1" thickBot="1" x14ac:dyDescent="0.5">
      <c r="A22" s="4"/>
      <c r="B22" s="105" t="s">
        <v>315</v>
      </c>
      <c r="C22" s="69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IF(C23="Sí",ROUND(C4*SUM(D23:D25)/100,2),0)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idden="1" x14ac:dyDescent="0.45">
      <c r="A23" s="4"/>
      <c r="B23" s="105" t="s">
        <v>315</v>
      </c>
      <c r="C23" s="69" t="s">
        <v>138</v>
      </c>
      <c r="D23" s="4">
        <f>IF(C23="No",0,Datos!E102)</f>
        <v>0</v>
      </c>
      <c r="E23" s="4"/>
      <c r="F23" s="4"/>
      <c r="G23" s="4"/>
      <c r="H23" s="4"/>
      <c r="I23" s="4"/>
      <c r="J23" s="36" t="s">
        <v>153</v>
      </c>
      <c r="K23" s="61"/>
      <c r="L23" s="53">
        <f>IF(C26="Sí",ROUND(C4*MIN(D27:D36)/100,2),0)</f>
        <v>0</v>
      </c>
      <c r="M23" s="53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2.4" hidden="1" customHeight="1" thickBot="1" x14ac:dyDescent="0.5">
      <c r="A24" s="4"/>
      <c r="B24" s="107" t="s">
        <v>314</v>
      </c>
      <c r="C24" s="69" t="s">
        <v>138</v>
      </c>
      <c r="D24" s="4">
        <f>IF(AND(C23="Sí",C24="Sí"),Datos!E103,0)</f>
        <v>0</v>
      </c>
      <c r="E24" s="4"/>
      <c r="F24" s="4"/>
      <c r="G24" s="4"/>
      <c r="H24" s="4"/>
      <c r="I24" s="4"/>
      <c r="K24" s="62"/>
      <c r="L24" s="53">
        <f>IF(D21&gt;0,ROUND(C4*MAX(E27:E33,G27:G33)*D21/100,2),0)</f>
        <v>0</v>
      </c>
      <c r="M24" s="53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3.75" hidden="1" customHeight="1" thickBot="1" x14ac:dyDescent="0.5">
      <c r="A25" s="4"/>
      <c r="B25" s="107" t="s">
        <v>314</v>
      </c>
      <c r="C25" s="69">
        <v>0</v>
      </c>
      <c r="D25" s="4">
        <f>IF(C23="Sí",C25*Datos!E104,0)</f>
        <v>0</v>
      </c>
      <c r="E25" s="4"/>
      <c r="F25" s="4"/>
      <c r="G25" s="4"/>
      <c r="H25" s="4"/>
      <c r="I25" s="4"/>
      <c r="J25" s="54"/>
      <c r="K25" s="63"/>
      <c r="L25" s="55">
        <f>IF(C21="Sí",ROUND(Datos!E92*C4/100,2),0)</f>
        <v>0</v>
      </c>
      <c r="M25" s="55">
        <f t="shared" si="1"/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x14ac:dyDescent="0.45">
      <c r="A26" s="4"/>
      <c r="B26" s="105" t="s">
        <v>145</v>
      </c>
      <c r="C26" s="69" t="s">
        <v>138</v>
      </c>
      <c r="D26" s="4"/>
      <c r="E26" s="4" t="s">
        <v>125</v>
      </c>
      <c r="F26" s="4" t="s">
        <v>154</v>
      </c>
      <c r="G26" s="4" t="s">
        <v>280</v>
      </c>
      <c r="H26" s="4" t="s">
        <v>281</v>
      </c>
      <c r="I26" s="4"/>
      <c r="J26" s="57" t="s">
        <v>162</v>
      </c>
      <c r="K26" s="58"/>
      <c r="L26" s="59"/>
      <c r="M26" s="58"/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x14ac:dyDescent="0.45">
      <c r="A27" s="4"/>
      <c r="B27" s="107" t="s">
        <v>146</v>
      </c>
      <c r="C27" s="69">
        <v>0</v>
      </c>
      <c r="D27" s="4">
        <f>IF($C$27&lt;=50,Datos!E107,"")</f>
        <v>17.649999999999999</v>
      </c>
      <c r="E27" s="4" t="str">
        <f>IF(AND(C11=D5,$D12=$D$14,$C$14=F13),Datos!E64,"")</f>
        <v/>
      </c>
      <c r="F27" s="4" t="str">
        <f>IF(AND(OR($C$13=$D$15,$C$13=$D$16),$C$14=F13,C11=D5),Datos!E68,"")</f>
        <v/>
      </c>
      <c r="G27" s="4" t="str">
        <f>IF(AND(C11=D6,$D12=$D$14,$C$14=F13),Datos!E32,"")</f>
        <v/>
      </c>
      <c r="H27" s="4" t="str">
        <f>IF(AND(OR($C$13=$D$15,$C$13=$D$16),$C$14=F13,C11=D6),Datos!E38,"")</f>
        <v/>
      </c>
      <c r="I27" s="4"/>
      <c r="J27" s="7" t="s">
        <v>231</v>
      </c>
      <c r="K27" s="40"/>
      <c r="L27" s="20">
        <f>IF(OR(C29="Funcionario/a de carrera",C29="Funcionario/a en prácticas"),51.68,0)</f>
        <v>0</v>
      </c>
      <c r="M27" s="49">
        <f>L27</f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59" t="s">
        <v>233</v>
      </c>
      <c r="C28" s="160"/>
      <c r="D28" s="4">
        <f>IF($C$27&lt;=100,Datos!E108,"")</f>
        <v>35.32</v>
      </c>
      <c r="E28" s="4" t="str">
        <f>IF(AND(C11=D5,$D$12=$D$14,$C$14=F14),Datos!E65,"")</f>
        <v/>
      </c>
      <c r="F28" s="4" t="str">
        <f>IF(AND(OR($C$13=$D$15,$C$13=$D$16),$C$14=F14,C11=D5),Datos!E69,"")</f>
        <v/>
      </c>
      <c r="G28" s="4" t="str">
        <f>IF(AND(C11=D6,$D12=$D$14,$C$14=F14),Datos!E33,"")</f>
        <v/>
      </c>
      <c r="H28" s="4" t="str">
        <f>IF(AND(OR($C$13=$D$15,$C$13=$D$16),$C$14=F14,C11=D6),Datos!E39,"")</f>
        <v/>
      </c>
      <c r="I28" s="4"/>
      <c r="J28" s="7" t="s">
        <v>232</v>
      </c>
      <c r="K28" s="40"/>
      <c r="L28" s="20">
        <f>IF(AND(L27&gt;0,C30&lt;2011,C30&gt;0),118.04,0)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29" t="s">
        <v>158</v>
      </c>
      <c r="C29" s="18"/>
      <c r="D29" s="4">
        <f>IF($C$27&lt;=150,Datos!E109,"")</f>
        <v>52.97</v>
      </c>
      <c r="E29" s="4" t="str">
        <f>IF(AND(C11=D5,$D$12=$D$14,$C$14=F15),Datos!E66,"")</f>
        <v/>
      </c>
      <c r="F29" s="4" t="str">
        <f>IF(AND(OR($C$13=$D$15,$C$13=$D$16),$C$14=F15,C11=D5),Datos!E70,"")</f>
        <v/>
      </c>
      <c r="G29" s="4" t="str">
        <f>IF(AND(C11=D6,$D12=$D$14,$C$14=F15),Datos!E34,"")</f>
        <v/>
      </c>
      <c r="H29" s="4" t="str">
        <f>IF(AND(OR($C$13=$D$15,$C$13=$D$16),$C$14=F15,C11=D6),Datos!E40,"")</f>
        <v/>
      </c>
      <c r="I29" s="4"/>
      <c r="J29" s="7" t="s">
        <v>163</v>
      </c>
      <c r="K29" s="40"/>
      <c r="L29" s="20">
        <f>IF(OR(C29=A36,AND(C29=A35,C30&gt;=2011)),(L4+(M4/6))*L68,0)</f>
        <v>0</v>
      </c>
      <c r="M29" s="9">
        <v>0</v>
      </c>
      <c r="P29" s="4"/>
      <c r="Q29" s="4"/>
      <c r="R29" s="4"/>
      <c r="S29" s="4"/>
      <c r="T29" s="4"/>
      <c r="U29" s="4"/>
      <c r="V29" s="4"/>
      <c r="W29" s="4"/>
    </row>
    <row r="30" spans="1:29" ht="14.65" thickBot="1" x14ac:dyDescent="0.5">
      <c r="A30" s="4"/>
      <c r="B30" s="129" t="str">
        <f>IF(C29=A35,"¿En qué año aprobaste la oposición?","")</f>
        <v/>
      </c>
      <c r="C30" s="18"/>
      <c r="D30" s="4">
        <f>IF($C$27&lt;=200,Datos!E110,"")</f>
        <v>70.64</v>
      </c>
      <c r="E30" s="4" t="str">
        <f>IF(AND(C11=D5,$D$12=$D$14,$C$14=F16),Datos!E67,"")</f>
        <v/>
      </c>
      <c r="F30" s="4" t="str">
        <f>IF(AND(OR($C$13=$D$15,$C$13=$D$16),$C$14=F16,C11=D5),Datos!E71,"")</f>
        <v/>
      </c>
      <c r="G30" s="4" t="str">
        <f>IF(AND(C11=D6,$D12=$D$14,$C$14=F13),Datos!E35,"")</f>
        <v/>
      </c>
      <c r="H30" s="4" t="str">
        <f>IF(AND(OR($C$13=$D$15,$C$13=$D$16),$C$14=F16,C11=D6),Datos!E41,"")</f>
        <v/>
      </c>
      <c r="I30" s="4"/>
      <c r="J30" s="7" t="s">
        <v>164</v>
      </c>
      <c r="K30" s="40"/>
      <c r="L30" s="46">
        <f>IF(C29=A37,L4*0.0647+M4*0.0647/6,0)</f>
        <v>0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71" t="s">
        <v>169</v>
      </c>
      <c r="C31" s="172"/>
      <c r="D31" s="4">
        <f>IF($C$27&lt;=250,Datos!E111,"")</f>
        <v>88.29</v>
      </c>
      <c r="E31" s="4" t="str">
        <f>IF(AND($C$13=$D$14,$C$15&lt;&gt;"",$C$15&lt;&gt;$G$13,$C$14=F17),Datos!E36,"")</f>
        <v/>
      </c>
      <c r="F31" s="4"/>
      <c r="G31" s="4" t="str">
        <f>IF(AND(C11=D6,$D12=$D$14,$C$14=F16),Datos!E36,"")</f>
        <v/>
      </c>
      <c r="H31" s="4" t="str">
        <f>IF(AND(OR($C$13=$D$15,$C$13=$D$16),$C$14=F17,C11=D6),Datos!E42,"")</f>
        <v/>
      </c>
      <c r="I31" s="4"/>
      <c r="J31" s="14" t="s">
        <v>165</v>
      </c>
      <c r="K31" s="48">
        <f>L61</f>
        <v>0.23204763601767997</v>
      </c>
      <c r="L31" s="47">
        <f>L4*K31</f>
        <v>749.67629768231859</v>
      </c>
      <c r="M31" s="50">
        <f>M4*K31</f>
        <v>626.41491390608724</v>
      </c>
      <c r="O31" s="4"/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29" t="s">
        <v>171</v>
      </c>
      <c r="C32" s="18" t="s">
        <v>138</v>
      </c>
      <c r="D32" s="4">
        <f>IF($C$27&lt;=300,Datos!E112,"")</f>
        <v>105.96</v>
      </c>
      <c r="E32" s="4" t="str">
        <f>IF(AND($C$13=$D$14,$C$15&lt;&gt;"",$C$15&lt;&gt;$G$13,$C$14=F18),Datos!E37,"")</f>
        <v/>
      </c>
      <c r="F32" s="4"/>
      <c r="G32" s="4" t="str">
        <f>IF(AND(C11=D6,$D12=$D$14,$C$14=F17),Datos!E37,"")</f>
        <v/>
      </c>
      <c r="H32" s="4"/>
      <c r="I32" s="4"/>
      <c r="O32" s="4" t="s">
        <v>176</v>
      </c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191</v>
      </c>
      <c r="C33" s="116">
        <v>0</v>
      </c>
      <c r="D33" s="4">
        <f>IF($C$27&lt;=350,Datos!E113,"")</f>
        <v>123.62</v>
      </c>
      <c r="E33" s="4"/>
      <c r="F33" s="4" t="str">
        <f>IF(AND(OR($C$13=$D$15,$C$13=$D$16),$C$15&lt;&gt;"",$C$15&lt;&gt;$G$13,$C$14=F19),Datos!E44,"")</f>
        <v/>
      </c>
      <c r="G33" s="4" t="str">
        <f>IF(AND(C11=D6,$D12=$D$14,$C$14=F18),Datos!E38,"")</f>
        <v/>
      </c>
      <c r="H33" s="4"/>
      <c r="I33" s="4"/>
      <c r="O33" s="4" t="s">
        <v>177</v>
      </c>
      <c r="P33" s="4">
        <v>2400</v>
      </c>
      <c r="Q33" s="4">
        <v>2400</v>
      </c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190</v>
      </c>
      <c r="C34" s="116">
        <v>0</v>
      </c>
      <c r="D34" s="4">
        <f>IF($C$27&lt;=450,Datos!E114,"")</f>
        <v>141.27000000000001</v>
      </c>
      <c r="E34" s="4"/>
      <c r="F34" s="4"/>
      <c r="G34" s="4"/>
      <c r="H34" s="4"/>
      <c r="I34" s="4"/>
      <c r="J34" s="74" t="s">
        <v>167</v>
      </c>
      <c r="K34" s="75"/>
      <c r="L34" s="76"/>
      <c r="O34" s="4" t="s">
        <v>178</v>
      </c>
      <c r="P34" s="4">
        <v>2700</v>
      </c>
      <c r="Q34" s="4">
        <f>Q33+P34</f>
        <v>5100</v>
      </c>
      <c r="R34" s="4"/>
      <c r="S34" s="4"/>
      <c r="T34" s="4"/>
      <c r="U34" s="4"/>
      <c r="V34" s="4"/>
      <c r="W34" s="4"/>
    </row>
    <row r="35" spans="1:23" ht="14.65" thickBot="1" x14ac:dyDescent="0.5">
      <c r="A35" s="4" t="s">
        <v>159</v>
      </c>
      <c r="B35" s="41" t="s">
        <v>174</v>
      </c>
      <c r="C35" s="18">
        <v>0</v>
      </c>
      <c r="D35" s="4">
        <f>IF($C$27&lt;=450,Datos!E115,"")</f>
        <v>158.94</v>
      </c>
      <c r="E35" s="4"/>
      <c r="F35" s="4"/>
      <c r="G35" s="4"/>
      <c r="H35" s="4"/>
      <c r="I35" s="4"/>
      <c r="J35" s="36" t="s">
        <v>168</v>
      </c>
      <c r="K35" s="37"/>
      <c r="L35" s="70">
        <f>L4*12+M4*2</f>
        <v>44167.419999999991</v>
      </c>
      <c r="O35" s="4" t="s">
        <v>179</v>
      </c>
      <c r="P35" s="4">
        <v>4000</v>
      </c>
      <c r="Q35" s="4">
        <f>Q34+P35</f>
        <v>9100</v>
      </c>
      <c r="R35" s="4"/>
      <c r="S35" s="4"/>
      <c r="T35" s="4"/>
      <c r="U35" s="4"/>
      <c r="V35" s="4"/>
      <c r="W35" s="4"/>
    </row>
    <row r="36" spans="1:23" ht="14.75" customHeight="1" thickBot="1" x14ac:dyDescent="0.5">
      <c r="A36" s="4" t="s">
        <v>160</v>
      </c>
      <c r="B36" s="129" t="s">
        <v>173</v>
      </c>
      <c r="C36" s="18">
        <v>0</v>
      </c>
      <c r="D36" s="4">
        <f>IF($C$27&lt;=1000050,Datos!E116,"")</f>
        <v>176.59</v>
      </c>
      <c r="E36" s="4"/>
      <c r="F36" s="4"/>
      <c r="G36" s="4"/>
      <c r="H36" s="4"/>
      <c r="I36" s="4"/>
      <c r="J36" s="7" t="s">
        <v>259</v>
      </c>
      <c r="K36" s="8"/>
      <c r="L36" s="9">
        <f>IF(AND(C47="Sí",L35&lt;33007.2),TRUNC(L35*0.02),0)</f>
        <v>0</v>
      </c>
      <c r="M36" s="22"/>
      <c r="N36" s="22"/>
      <c r="O36" s="4" t="s">
        <v>180</v>
      </c>
      <c r="P36" s="4">
        <v>4500</v>
      </c>
      <c r="Q36" s="4"/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161</v>
      </c>
      <c r="B37" s="131" t="s">
        <v>196</v>
      </c>
      <c r="C37" s="18" t="s">
        <v>138</v>
      </c>
      <c r="D37" s="4" t="str">
        <f>IF(B69=A68,"Sí","No")</f>
        <v>No</v>
      </c>
      <c r="E37" s="4"/>
      <c r="F37" s="4"/>
      <c r="G37" s="4"/>
      <c r="H37" s="4"/>
      <c r="I37" s="4"/>
      <c r="J37" s="7" t="s">
        <v>265</v>
      </c>
      <c r="K37" s="8"/>
      <c r="L37" s="9">
        <f>IF(L35-L38&lt;14582,7302,IF(L35-L38&lt;17673.52,7302-(1.75*(L35-L38-14852)),IF(L35-L38&lt;19747.5,2364.34-(1.14*(L35-L38-17673.52)),0)))</f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182</v>
      </c>
      <c r="B38" s="129" t="s">
        <v>181</v>
      </c>
      <c r="C38" s="18" t="s">
        <v>182</v>
      </c>
      <c r="D38" s="4"/>
      <c r="E38" s="4"/>
      <c r="F38" s="4"/>
      <c r="G38" s="4"/>
      <c r="H38" s="4"/>
      <c r="I38" s="4"/>
      <c r="J38" s="36" t="s">
        <v>236</v>
      </c>
      <c r="K38" s="37"/>
      <c r="L38" s="70">
        <f>SUM(L27:L30)*14+SUM(M27:M30)*2</f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184</v>
      </c>
      <c r="B39" s="131" t="s">
        <v>189</v>
      </c>
      <c r="C39" s="18" t="s">
        <v>138</v>
      </c>
      <c r="D39" s="4"/>
      <c r="E39" s="4"/>
      <c r="F39" s="4"/>
      <c r="G39" s="4"/>
      <c r="H39" s="4"/>
      <c r="I39" s="4"/>
      <c r="J39" s="36" t="s">
        <v>241</v>
      </c>
      <c r="K39" s="37"/>
      <c r="L39" s="70">
        <f>C33+2000+M40</f>
        <v>2000</v>
      </c>
      <c r="M39" s="4"/>
      <c r="N39" s="4"/>
      <c r="O39" s="22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183</v>
      </c>
      <c r="B40" s="129" t="s">
        <v>192</v>
      </c>
      <c r="C40" s="18">
        <v>0</v>
      </c>
      <c r="D40" s="4"/>
      <c r="E40" s="4"/>
      <c r="F40" s="4"/>
      <c r="G40" s="4"/>
      <c r="H40" s="4"/>
      <c r="I40" s="4"/>
      <c r="J40" s="36" t="s">
        <v>170</v>
      </c>
      <c r="K40" s="37"/>
      <c r="L40" s="70">
        <f>IF(C32="Sí",1150+5550,5550)</f>
        <v>5550</v>
      </c>
      <c r="M40" s="4">
        <f>IF(AND(C38=A41,C39="No"),3500,IF(OR(C38=A40,C38=A41),7750,0))</f>
        <v>0</v>
      </c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x14ac:dyDescent="0.45">
      <c r="A41" s="4" t="s">
        <v>185</v>
      </c>
      <c r="B41" s="173" t="s">
        <v>207</v>
      </c>
      <c r="C41" s="175">
        <v>0</v>
      </c>
      <c r="D41" s="4"/>
      <c r="E41" s="4"/>
      <c r="F41" s="4"/>
      <c r="G41" s="4"/>
      <c r="H41" s="4"/>
      <c r="I41" s="4"/>
      <c r="J41" s="36" t="s">
        <v>172</v>
      </c>
      <c r="K41" s="37"/>
      <c r="L41" s="70">
        <f>SUM(C70:C73)</f>
        <v>0</v>
      </c>
      <c r="M41" s="4"/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/>
      <c r="B42" s="173"/>
      <c r="C42" s="176"/>
      <c r="D42" s="4"/>
      <c r="E42" s="4"/>
      <c r="F42" s="4"/>
      <c r="G42" s="4"/>
      <c r="H42" s="4"/>
      <c r="I42" s="4"/>
      <c r="J42" s="36" t="s">
        <v>175</v>
      </c>
      <c r="K42" s="37"/>
      <c r="L42" s="70">
        <f>IF(C37="no",M48/2+1400*C36,M48+2800*C36)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thickBot="1" x14ac:dyDescent="0.5">
      <c r="A43" s="4"/>
      <c r="B43" s="174"/>
      <c r="C43" s="177"/>
      <c r="D43" s="4"/>
      <c r="E43" s="4"/>
      <c r="F43" s="4"/>
      <c r="G43" s="4"/>
      <c r="H43" s="4"/>
      <c r="I43" s="4"/>
      <c r="J43" s="36" t="s">
        <v>186</v>
      </c>
      <c r="K43" s="37"/>
      <c r="L43" s="70">
        <f>IF(C38=A40,9000,IF(C38=A41,3000,0))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x14ac:dyDescent="0.45">
      <c r="A44" s="4"/>
      <c r="B44" s="178" t="s">
        <v>207</v>
      </c>
      <c r="C44" s="175">
        <v>0</v>
      </c>
      <c r="D44" s="4"/>
      <c r="E44" s="4"/>
      <c r="F44" s="4"/>
      <c r="G44" s="4"/>
      <c r="H44" s="4"/>
      <c r="I44" s="4"/>
      <c r="J44" s="36" t="s">
        <v>187</v>
      </c>
      <c r="K44" s="37"/>
      <c r="L44" s="70">
        <f>SUM(C74:C77)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3"/>
      <c r="C45" s="176"/>
      <c r="D45" s="4"/>
      <c r="E45" s="4"/>
      <c r="F45" s="4"/>
      <c r="G45" s="4"/>
      <c r="H45" s="4"/>
      <c r="I45" s="4"/>
      <c r="J45" s="36" t="s">
        <v>188</v>
      </c>
      <c r="K45" s="37"/>
      <c r="L45" s="70">
        <f>IF(C37="Sí",M50,M50/2)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thickBot="1" x14ac:dyDescent="0.5">
      <c r="A46" s="4"/>
      <c r="B46" s="174"/>
      <c r="C46" s="177"/>
      <c r="D46" s="4"/>
      <c r="E46" s="4"/>
      <c r="F46" s="4"/>
      <c r="G46" s="4"/>
      <c r="H46" s="4"/>
      <c r="I46" s="4"/>
      <c r="J46" s="36" t="s">
        <v>206</v>
      </c>
      <c r="K46" s="37"/>
      <c r="L46" s="70">
        <f>IF(OR(C39="Sí",C38=A40),3000,0)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22"/>
      <c r="B47" s="129" t="s">
        <v>267</v>
      </c>
      <c r="C47" s="18" t="s">
        <v>138</v>
      </c>
      <c r="D47" s="4"/>
      <c r="E47" s="4"/>
      <c r="F47" s="4"/>
      <c r="G47" s="4"/>
      <c r="H47" s="4"/>
      <c r="I47" s="4"/>
      <c r="J47" s="7" t="s">
        <v>208</v>
      </c>
      <c r="K47" s="8"/>
      <c r="L47" s="9">
        <f>SUM(L40:L46)</f>
        <v>5550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260</v>
      </c>
      <c r="C48" s="117"/>
      <c r="D48" s="4"/>
      <c r="E48" s="4"/>
      <c r="F48" s="4"/>
      <c r="G48" s="4"/>
      <c r="H48" s="4"/>
      <c r="I48" s="4"/>
      <c r="J48" s="7" t="s">
        <v>209</v>
      </c>
      <c r="K48" s="8"/>
      <c r="L48" s="9">
        <f>MAX(0,L35-L38-L39-L37)</f>
        <v>42167.419999999991</v>
      </c>
      <c r="M48" s="4">
        <f>IF(C35=1,Q33,IF(C35=2,Q34,IF(C35=3,Q35,IF(C35&lt;1,0,Q35+4500*(C35-3)))))</f>
        <v>0</v>
      </c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25" t="s">
        <v>193</v>
      </c>
      <c r="C49" s="109"/>
      <c r="D49" s="4"/>
      <c r="E49" s="4"/>
      <c r="F49" s="4"/>
      <c r="G49" s="4"/>
      <c r="H49" s="4"/>
      <c r="I49" s="4"/>
      <c r="J49" s="7" t="s">
        <v>210</v>
      </c>
      <c r="K49" s="8"/>
      <c r="L49" s="9">
        <f>IF(L47&gt;12450,0,MAX(0,MIN(12450,L48)-L47))</f>
        <v>6900</v>
      </c>
      <c r="M49" s="4"/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194</v>
      </c>
      <c r="C50" s="109"/>
      <c r="D50" s="4"/>
      <c r="E50" s="4"/>
      <c r="F50" s="4"/>
      <c r="G50" s="4"/>
      <c r="H50" s="4"/>
      <c r="I50" s="4"/>
      <c r="J50" s="7" t="s">
        <v>211</v>
      </c>
      <c r="K50" s="8"/>
      <c r="L50" s="9">
        <f>IF(IF(L47&gt;20200,0,IF(L48&gt;20200,MIN(20200-L47,20200-12450),MIN(L48-L47,L48-12450)))&lt;0,0,IF(L47&gt;20200,0,IF(L48&gt;20200,MIN(20200-L47,20200-12450),MIN(L48-L47,L48-12450))))</f>
        <v>7750</v>
      </c>
      <c r="M50" s="4">
        <f>C40*12000+C41*6000+C44*3000</f>
        <v>0</v>
      </c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201</v>
      </c>
      <c r="C51" s="18"/>
      <c r="D51" s="4"/>
      <c r="E51" s="4"/>
      <c r="F51" s="4"/>
      <c r="G51" s="4"/>
      <c r="H51" s="4"/>
      <c r="I51" s="4"/>
      <c r="J51" s="7" t="s">
        <v>212</v>
      </c>
      <c r="K51" s="8"/>
      <c r="L51" s="9">
        <f>IF(IF(L47&gt;35200,0,IF(L48&gt;35200,MIN(35200-L47,35200-20200),MIN(L48-L47,L48-20200)))&lt;0,0,IF(L47&gt;35200,0,IF(L48&gt;35200,MIN(35200-L47,35200-20200),MIN(L48-L47,L48-20200))))</f>
        <v>15000</v>
      </c>
      <c r="M51" s="4"/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4"/>
      <c r="B52" s="26" t="s">
        <v>195</v>
      </c>
      <c r="C52" s="109"/>
      <c r="D52" s="4"/>
      <c r="E52" s="4"/>
      <c r="F52" s="4"/>
      <c r="G52" s="4"/>
      <c r="H52" s="4"/>
      <c r="I52" s="4"/>
      <c r="J52" s="7" t="s">
        <v>213</v>
      </c>
      <c r="K52" s="8"/>
      <c r="L52" s="9">
        <f>IF(IF(L47&gt;60000,0,IF(L48&gt;60000,MIN(35200-L47,60000-35200),MIN(L48-L47,L48-35200)))&lt;0,0,IF(L47&gt;60000,0,IF(L48&gt;60000,MIN(35200-L47,60000-35200),MIN(L48-L47,L48-35200))))</f>
        <v>6967.419999999991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129" t="s">
        <v>261</v>
      </c>
      <c r="C53" s="117"/>
      <c r="H53" s="4"/>
      <c r="I53" s="4"/>
      <c r="J53" s="7" t="s">
        <v>214</v>
      </c>
      <c r="K53" s="8"/>
      <c r="L53" s="9">
        <f>IF(IF(L47&gt;30000,0,IF(L48&gt;300000,MIN(60000-L47,300000-60000),MIN(L48-L47,L48-60000)))&lt;0,0,IF(L47&gt;30000,0,IF(L48&gt;300000,MIN(60000-L47,300000-60000),MIN(L48-L47,L48-60000))))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25" t="s">
        <v>193</v>
      </c>
      <c r="C54" s="109"/>
      <c r="H54" s="4"/>
      <c r="I54" s="4"/>
      <c r="J54" s="7" t="s">
        <v>215</v>
      </c>
      <c r="K54" s="8"/>
      <c r="L54" s="9">
        <f>ROUND(L49*0.19,2)</f>
        <v>1311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194</v>
      </c>
      <c r="C55" s="109"/>
      <c r="G55" s="4"/>
      <c r="H55" s="4"/>
      <c r="I55" s="4"/>
      <c r="J55" s="7" t="s">
        <v>216</v>
      </c>
      <c r="K55" s="8"/>
      <c r="L55" s="9">
        <f>ROUND(L50*0.24,2)</f>
        <v>1860</v>
      </c>
      <c r="M55" s="4"/>
      <c r="N55" s="4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201</v>
      </c>
      <c r="C56" s="18"/>
      <c r="G56" s="4"/>
      <c r="H56" s="4"/>
      <c r="I56" s="4"/>
      <c r="J56" s="7" t="s">
        <v>217</v>
      </c>
      <c r="K56" s="8"/>
      <c r="L56" s="9">
        <f>ROUND(L51*0.3,2)</f>
        <v>4500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6" t="s">
        <v>195</v>
      </c>
      <c r="C57" s="109"/>
      <c r="G57" s="4"/>
      <c r="H57" s="4"/>
      <c r="I57" s="4"/>
      <c r="J57" s="7" t="s">
        <v>218</v>
      </c>
      <c r="K57" s="8"/>
      <c r="L57" s="9">
        <f>ROUND(L52*0.37,2)</f>
        <v>2577.9499999999998</v>
      </c>
      <c r="P57" s="4"/>
      <c r="Q57" s="4"/>
      <c r="R57" s="4"/>
      <c r="S57" s="4"/>
      <c r="T57" s="4"/>
      <c r="U57" s="4"/>
      <c r="V57" s="4"/>
      <c r="W57" s="4"/>
    </row>
    <row r="58" spans="1:23" ht="14.65" thickBot="1" x14ac:dyDescent="0.5">
      <c r="A58" s="4"/>
      <c r="B58" s="129" t="s">
        <v>262</v>
      </c>
      <c r="C58" s="117"/>
      <c r="G58" s="4"/>
      <c r="H58" s="4"/>
      <c r="I58" s="4"/>
      <c r="J58" s="7" t="s">
        <v>219</v>
      </c>
      <c r="K58" s="8"/>
      <c r="L58" s="9">
        <f>ROUND(L53*0.45,2)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25" t="s">
        <v>193</v>
      </c>
      <c r="C59" s="109"/>
      <c r="G59" s="4"/>
      <c r="H59" s="4"/>
      <c r="I59" s="4"/>
      <c r="J59" s="7" t="s">
        <v>266</v>
      </c>
      <c r="K59" s="8"/>
      <c r="L59" s="49">
        <f>SUM(L54:L58)</f>
        <v>10248.950000000001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194</v>
      </c>
      <c r="C60" s="109"/>
      <c r="G60" s="4"/>
      <c r="H60" s="4"/>
      <c r="I60" s="4"/>
      <c r="J60" s="7" t="s">
        <v>264</v>
      </c>
      <c r="K60" s="8"/>
      <c r="L60" s="49">
        <f>MAX(0,C129-L36)</f>
        <v>10248.945399999997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7" t="s">
        <v>201</v>
      </c>
      <c r="C61" s="18"/>
      <c r="G61" s="4"/>
      <c r="H61" s="4"/>
      <c r="I61" s="4"/>
      <c r="J61" s="80" t="s">
        <v>220</v>
      </c>
      <c r="K61" s="81"/>
      <c r="L61" s="82">
        <f>IF(M61&lt;0.02,0.02,M61)</f>
        <v>0.23204763601767997</v>
      </c>
      <c r="M61" s="4">
        <f>IF(L60&lt;L59,L60/L35,L59/L35)</f>
        <v>0.23204763601767997</v>
      </c>
    </row>
    <row r="62" spans="1:23" ht="14.65" thickBot="1" x14ac:dyDescent="0.5">
      <c r="A62" s="4"/>
      <c r="B62" s="26" t="s">
        <v>195</v>
      </c>
      <c r="C62" s="109"/>
      <c r="G62" s="4"/>
      <c r="H62" s="4"/>
      <c r="I62" s="4"/>
    </row>
    <row r="63" spans="1:23" ht="14.65" thickBot="1" x14ac:dyDescent="0.5">
      <c r="A63" s="4"/>
      <c r="B63" s="129" t="s">
        <v>263</v>
      </c>
      <c r="C63" s="117"/>
      <c r="G63" s="4"/>
      <c r="H63" s="4"/>
      <c r="I63" s="4"/>
      <c r="J63" s="74" t="s">
        <v>222</v>
      </c>
      <c r="K63" s="77"/>
      <c r="L63" s="78"/>
    </row>
    <row r="64" spans="1:23" ht="14.65" thickBot="1" x14ac:dyDescent="0.5">
      <c r="A64" s="4"/>
      <c r="B64" s="25" t="s">
        <v>193</v>
      </c>
      <c r="C64" s="109"/>
      <c r="G64" s="4"/>
      <c r="H64" s="4"/>
      <c r="I64" s="4"/>
      <c r="J64" s="7" t="s">
        <v>224</v>
      </c>
      <c r="L64" s="71">
        <v>4.7E-2</v>
      </c>
    </row>
    <row r="65" spans="1:12" ht="14.65" thickBot="1" x14ac:dyDescent="0.5">
      <c r="A65" s="4"/>
      <c r="B65" s="25" t="s">
        <v>194</v>
      </c>
      <c r="C65" s="109"/>
      <c r="G65" s="4"/>
      <c r="H65" s="4"/>
      <c r="I65" s="4"/>
      <c r="J65" s="7" t="s">
        <v>225</v>
      </c>
      <c r="L65" s="71">
        <v>1.1999999999999999E-3</v>
      </c>
    </row>
    <row r="66" spans="1:12" ht="14.65" thickBot="1" x14ac:dyDescent="0.5">
      <c r="A66" s="4"/>
      <c r="B66" s="27" t="s">
        <v>201</v>
      </c>
      <c r="C66" s="18"/>
      <c r="G66" s="4"/>
      <c r="H66" s="4"/>
      <c r="I66" s="4"/>
      <c r="J66" s="7" t="s">
        <v>230</v>
      </c>
      <c r="L66" s="71">
        <v>0.28299999999999997</v>
      </c>
    </row>
    <row r="67" spans="1:12" ht="14.65" thickBot="1" x14ac:dyDescent="0.5">
      <c r="A67" s="4"/>
      <c r="B67" s="27" t="s">
        <v>195</v>
      </c>
      <c r="C67" s="109"/>
      <c r="G67" s="4"/>
      <c r="H67" s="4"/>
      <c r="I67" s="4"/>
      <c r="J67" s="7" t="s">
        <v>229</v>
      </c>
      <c r="L67" s="40">
        <v>1.0999999999999999E-2</v>
      </c>
    </row>
    <row r="68" spans="1:12" ht="14.65" thickBot="1" x14ac:dyDescent="0.5">
      <c r="A68" s="30" t="s">
        <v>240</v>
      </c>
      <c r="B68" s="41" t="s">
        <v>237</v>
      </c>
      <c r="C68" s="69">
        <f>IF(B69=A68,1,IF(B69=A69,2,IF(B69=A70,3,0)))</f>
        <v>3</v>
      </c>
      <c r="G68" s="4"/>
      <c r="H68" s="4"/>
      <c r="I68" s="4"/>
      <c r="J68" s="80" t="s">
        <v>228</v>
      </c>
      <c r="K68" s="81"/>
      <c r="L68" s="83">
        <f>L64+L65-ROUND((L66*L67),4)</f>
        <v>4.5100000000000001E-2</v>
      </c>
    </row>
    <row r="69" spans="1:12" ht="42" customHeight="1" thickBot="1" x14ac:dyDescent="0.5">
      <c r="A69" s="30" t="s">
        <v>238</v>
      </c>
      <c r="B69" s="161" t="s">
        <v>239</v>
      </c>
      <c r="C69" s="162"/>
      <c r="G69" s="4"/>
      <c r="H69" s="4"/>
      <c r="I69" s="4"/>
    </row>
    <row r="70" spans="1:12" x14ac:dyDescent="0.45">
      <c r="A70" s="30" t="s">
        <v>239</v>
      </c>
      <c r="B70" s="4" t="s">
        <v>197</v>
      </c>
      <c r="C70" s="4">
        <f>IF(C49&gt;=75,ROUND((1150+1400)/C52,2),IF(C49&gt;=65,ROUND(1150/C52,2),0))</f>
        <v>0</v>
      </c>
      <c r="G70" s="4"/>
      <c r="H70" s="4"/>
      <c r="I70" s="4"/>
      <c r="J70" s="74" t="s">
        <v>223</v>
      </c>
      <c r="K70" s="77"/>
      <c r="L70" s="78"/>
    </row>
    <row r="71" spans="1:12" x14ac:dyDescent="0.45">
      <c r="A71" s="4"/>
      <c r="B71" s="4" t="s">
        <v>198</v>
      </c>
      <c r="C71" s="4">
        <f>IF(C54&gt;=75,ROUND((1150+1400)/C57,2),IF(C54&gt;=65,ROUND(1150/C57,2),0))</f>
        <v>0</v>
      </c>
      <c r="D71" s="4"/>
      <c r="E71" s="4"/>
      <c r="F71" s="4"/>
      <c r="G71" s="4"/>
      <c r="H71" s="4"/>
      <c r="I71" s="4"/>
      <c r="J71" s="7" t="s">
        <v>224</v>
      </c>
      <c r="L71" s="71">
        <v>4.7E-2</v>
      </c>
    </row>
    <row r="72" spans="1:12" x14ac:dyDescent="0.45">
      <c r="A72" s="4"/>
      <c r="B72" s="4" t="s">
        <v>199</v>
      </c>
      <c r="C72" s="4">
        <f>IF(C59&gt;=75,ROUND((1150+1400)/C62,2),IF(C59&gt;=65,ROUND(1150/C62,2),0))</f>
        <v>0</v>
      </c>
      <c r="D72" s="4"/>
      <c r="E72" s="4"/>
      <c r="F72" s="4"/>
      <c r="G72" s="4"/>
      <c r="H72" s="4"/>
      <c r="I72" s="4"/>
      <c r="J72" s="7" t="s">
        <v>225</v>
      </c>
      <c r="L72" s="71">
        <v>1.1999999999999999E-3</v>
      </c>
    </row>
    <row r="73" spans="1:12" x14ac:dyDescent="0.45">
      <c r="A73" s="4"/>
      <c r="B73" s="4" t="s">
        <v>200</v>
      </c>
      <c r="C73" s="4">
        <f>IF(C64&gt;=75,ROUND((1150+1400)/C67,2),IF(C64&gt;=65,ROUND(1150/C67,2),0))</f>
        <v>0</v>
      </c>
      <c r="D73" s="4"/>
      <c r="E73" s="4"/>
      <c r="F73" s="4"/>
      <c r="G73" s="4"/>
      <c r="H73" s="4"/>
      <c r="I73" s="4"/>
      <c r="J73" s="7" t="s">
        <v>226</v>
      </c>
      <c r="L73" s="71">
        <v>1.55E-2</v>
      </c>
    </row>
    <row r="74" spans="1:12" x14ac:dyDescent="0.45">
      <c r="B74" s="4" t="s">
        <v>202</v>
      </c>
      <c r="C74" s="4">
        <f>IF(C49&lt;65,0,IF(C50=A40,ROUND(12000/C52,2),IF(AND(C50=A41,C51="No"),ROUND(3000/C52,2),IF(AND(C50=A41,C51="Sí"),ROUND(6000/C52,2),""))))</f>
        <v>0</v>
      </c>
      <c r="D74" s="4"/>
      <c r="E74" s="4"/>
      <c r="F74" s="4"/>
      <c r="G74" s="4"/>
      <c r="H74" s="4"/>
      <c r="I74" s="4"/>
      <c r="J74" s="7" t="s">
        <v>227</v>
      </c>
      <c r="L74" s="71">
        <v>1E-3</v>
      </c>
    </row>
    <row r="75" spans="1:12" ht="14.65" thickBot="1" x14ac:dyDescent="0.5">
      <c r="B75" s="4" t="s">
        <v>203</v>
      </c>
      <c r="C75" s="4">
        <f>IF(C54&lt;65,0,IF(C55=A40,ROUND(12000/C57,2),IF(AND(C55=A41,C56="No"),ROUND(3000/C57,2),IF(AND(C55=A41,C56="Sí"),ROUND(6000/C57,2),""))))</f>
        <v>0</v>
      </c>
      <c r="D75" s="4"/>
      <c r="E75" s="4"/>
      <c r="F75" s="4"/>
      <c r="G75" s="4"/>
      <c r="H75" s="4"/>
      <c r="I75" s="4"/>
      <c r="J75" s="80" t="s">
        <v>228</v>
      </c>
      <c r="K75" s="81"/>
      <c r="L75" s="82">
        <f>SUM(L71:L74)</f>
        <v>6.4700000000000008E-2</v>
      </c>
    </row>
    <row r="76" spans="1:12" x14ac:dyDescent="0.45">
      <c r="B76" s="4" t="s">
        <v>204</v>
      </c>
      <c r="C76" s="4">
        <f>IF(C59&lt;65,0,IF(C60=A40,ROUND(12000/C62,2),IF(AND(C60=A41,C61="No"),ROUND(3000/C62,2),IF(AND(C60=A41,C61="Sí"),ROUND(6000/C62,2),""))))</f>
        <v>0</v>
      </c>
      <c r="D76" s="4"/>
      <c r="E76" s="4"/>
      <c r="F76" s="4"/>
      <c r="G76" s="4"/>
      <c r="H76" s="4"/>
      <c r="I76" s="4"/>
    </row>
    <row r="77" spans="1:12" x14ac:dyDescent="0.45">
      <c r="B77" s="4" t="s">
        <v>205</v>
      </c>
      <c r="C77" s="4">
        <f>IF(C64&lt;65,0,IF(C65=A40,ROUND(12000/C67,2),IF(AND(C65=A41,C66="No"),ROUND(3000/C67,2),IF(AND(C65=A41,C66="Sí"),ROUND(6000/C67,2),""))))</f>
        <v>0</v>
      </c>
      <c r="D77" s="4"/>
      <c r="E77" s="4"/>
      <c r="F77" s="4"/>
      <c r="G77" s="4"/>
      <c r="H77" s="4"/>
      <c r="I77" s="4"/>
    </row>
    <row r="78" spans="1:12" x14ac:dyDescent="0.45">
      <c r="B78" s="4"/>
      <c r="C78" s="4"/>
      <c r="I78" s="4"/>
    </row>
    <row r="79" spans="1:12" x14ac:dyDescent="0.45">
      <c r="B79" s="4" t="s">
        <v>242</v>
      </c>
      <c r="C79" s="4"/>
      <c r="I79" s="4"/>
    </row>
    <row r="80" spans="1:12" x14ac:dyDescent="0.45">
      <c r="B80" s="4" t="s">
        <v>243</v>
      </c>
      <c r="C80" s="33">
        <f>L48-C34</f>
        <v>42167.419999999991</v>
      </c>
      <c r="I80" s="4"/>
    </row>
    <row r="81" spans="2:9" x14ac:dyDescent="0.45">
      <c r="B81" s="4" t="s">
        <v>244</v>
      </c>
      <c r="C81" s="33">
        <f>C34</f>
        <v>0</v>
      </c>
      <c r="I81" s="4"/>
    </row>
    <row r="82" spans="2:9" x14ac:dyDescent="0.45">
      <c r="B82" s="4" t="s">
        <v>245</v>
      </c>
      <c r="C82" s="34">
        <f>MAX(B84:B89)</f>
        <v>11303.445399999997</v>
      </c>
      <c r="I82" s="4"/>
    </row>
    <row r="83" spans="2:9" x14ac:dyDescent="0.45">
      <c r="B83" s="4" t="s">
        <v>247</v>
      </c>
      <c r="C83" s="4"/>
      <c r="I83" s="4"/>
    </row>
    <row r="84" spans="2:9" x14ac:dyDescent="0.45">
      <c r="B84" s="4" t="str">
        <f>IF(C80&lt;12450,0+(C80)*0.19,"")</f>
        <v/>
      </c>
      <c r="C84" s="4"/>
      <c r="I84" s="4"/>
    </row>
    <row r="85" spans="2:9" x14ac:dyDescent="0.45">
      <c r="B85" s="4" t="str">
        <f>IF(AND(C80&gt;=12450,C80&lt;20200),2365.5+(C80-12450)*0.24,"")</f>
        <v/>
      </c>
      <c r="C85" s="4"/>
      <c r="I85" s="4"/>
    </row>
    <row r="86" spans="2:9" x14ac:dyDescent="0.45">
      <c r="B86" s="4" t="str">
        <f>IF(AND(C80&gt;=20200,C80&lt;35200),4225.5+(C80-20200)*0.3,"")</f>
        <v/>
      </c>
      <c r="C86" s="4"/>
      <c r="I86" s="4"/>
    </row>
    <row r="87" spans="2:9" x14ac:dyDescent="0.45">
      <c r="B87" s="4">
        <f>IF(AND(C80&gt;=35200,C80&lt;60000),8725.5+(C80-35200)*0.37,"")</f>
        <v>11303.445399999997</v>
      </c>
      <c r="C87" s="4"/>
      <c r="I87" s="4"/>
    </row>
    <row r="88" spans="2:9" x14ac:dyDescent="0.45">
      <c r="B88" s="4" t="str">
        <f>IF(AND(C80&gt;=60000,C80&lt;300000),17901.5+(C80-60000)*0.45,"")</f>
        <v/>
      </c>
      <c r="C88" s="4"/>
      <c r="I88" s="4"/>
    </row>
    <row r="89" spans="2:9" x14ac:dyDescent="0.45">
      <c r="B89" s="4" t="str">
        <f>IF(C80&gt;300000,125901.5+(C80-300000)*0.47,"")</f>
        <v/>
      </c>
      <c r="C89" s="4"/>
      <c r="I89" s="4"/>
    </row>
    <row r="90" spans="2:9" x14ac:dyDescent="0.45">
      <c r="B90" s="4" t="s">
        <v>246</v>
      </c>
      <c r="C90" s="34">
        <f>MAX(B91:B96)</f>
        <v>0</v>
      </c>
      <c r="I90" s="4"/>
    </row>
    <row r="91" spans="2:9" x14ac:dyDescent="0.45">
      <c r="B91" s="4">
        <f>IF(C81&lt;12450,0+(C81)*0.19,"")</f>
        <v>0</v>
      </c>
      <c r="C91" s="4"/>
      <c r="I91" s="4"/>
    </row>
    <row r="92" spans="2:9" x14ac:dyDescent="0.45">
      <c r="B92" s="4" t="str">
        <f>IF(AND(C81&gt;=12450,C81&lt;20200),2365.5+(C81-12450)*0.24,"")</f>
        <v/>
      </c>
      <c r="C92" s="4"/>
      <c r="I92" s="4"/>
    </row>
    <row r="93" spans="2:9" x14ac:dyDescent="0.45">
      <c r="B93" s="4" t="str">
        <f>IF(AND(C81&gt;=20200,C81&lt;35200),4225.5+(C81-20200)*0.3,"")</f>
        <v/>
      </c>
      <c r="C93" s="4"/>
      <c r="I93" s="4"/>
    </row>
    <row r="94" spans="2:9" x14ac:dyDescent="0.45">
      <c r="B94" s="4" t="str">
        <f>IF(AND(C81&gt;=35200,C81&lt;60000),8725.5+(C81-35200)*0.37,"")</f>
        <v/>
      </c>
      <c r="C94" s="4"/>
      <c r="I94" s="4"/>
    </row>
    <row r="95" spans="2:9" x14ac:dyDescent="0.45">
      <c r="B95" s="4" t="str">
        <f>IF(AND(C81&gt;=60000,C81&lt;300000),17901.5+(C81-60000)*0.45,"")</f>
        <v/>
      </c>
      <c r="C95" s="4"/>
    </row>
    <row r="96" spans="2:9" x14ac:dyDescent="0.45">
      <c r="B96" s="4" t="str">
        <f>IF(C81&gt;300000,125901.5+(C81-300000)*0.47,"")</f>
        <v/>
      </c>
      <c r="C96" s="4"/>
    </row>
    <row r="97" spans="2:3" x14ac:dyDescent="0.45">
      <c r="B97" s="4" t="s">
        <v>248</v>
      </c>
      <c r="C97" s="33">
        <f>IF(AND(C34&gt;0,L48-C34&gt;0),C90+C82,C107)</f>
        <v>11303.445399999997</v>
      </c>
    </row>
    <row r="98" spans="2:3" x14ac:dyDescent="0.45">
      <c r="B98" s="4" t="s">
        <v>249</v>
      </c>
      <c r="C98" s="34">
        <f>IF(AND(C34&gt;0,L48-C34&gt;0),L47+1980,L47)</f>
        <v>5550</v>
      </c>
    </row>
    <row r="99" spans="2:3" x14ac:dyDescent="0.45">
      <c r="B99" s="4" t="s">
        <v>250</v>
      </c>
      <c r="C99" s="34">
        <f>MAX(B100:B105)</f>
        <v>1054.5</v>
      </c>
    </row>
    <row r="100" spans="2:3" x14ac:dyDescent="0.45">
      <c r="B100" s="4">
        <f>IF(C98&lt;12450,0+(C98)*0.19,"")</f>
        <v>1054.5</v>
      </c>
      <c r="C100" s="4"/>
    </row>
    <row r="101" spans="2:3" x14ac:dyDescent="0.45">
      <c r="B101" s="4" t="str">
        <f>IF(AND(C98&gt;=12450,C98&lt;20200),2365.5+(C98-12450)*0.24,"")</f>
        <v/>
      </c>
      <c r="C101" s="4"/>
    </row>
    <row r="102" spans="2:3" x14ac:dyDescent="0.45">
      <c r="B102" s="4" t="str">
        <f>IF(AND(C98&gt;=20200,C98&lt;35200),4225.5+(C98-20200)*0.3,"")</f>
        <v/>
      </c>
      <c r="C102" s="4"/>
    </row>
    <row r="103" spans="2:3" x14ac:dyDescent="0.45">
      <c r="B103" s="4" t="str">
        <f>IF(AND(C98&gt;=35200,C98&lt;60000),8725.5+(C98-35200)*0.37,"")</f>
        <v/>
      </c>
      <c r="C103" s="4"/>
    </row>
    <row r="104" spans="2:3" x14ac:dyDescent="0.45">
      <c r="B104" s="4" t="str">
        <f>IF(AND(C98&gt;=60000,C98&lt;300000),17901.5+(C98-60000)*0.45,"")</f>
        <v/>
      </c>
      <c r="C104" s="4"/>
    </row>
    <row r="105" spans="2:3" x14ac:dyDescent="0.45">
      <c r="B105" s="4" t="str">
        <f>IF(C98&gt;300000,125901.5+(C98-300000)*0.47,"")</f>
        <v/>
      </c>
      <c r="C105" s="4"/>
    </row>
    <row r="106" spans="2:3" x14ac:dyDescent="0.45">
      <c r="B106" s="4" t="s">
        <v>251</v>
      </c>
      <c r="C106" s="35">
        <f>IF(C97&gt;C99,C97-C99,L59)</f>
        <v>10248.945399999997</v>
      </c>
    </row>
    <row r="107" spans="2:3" x14ac:dyDescent="0.45">
      <c r="B107" s="4" t="s">
        <v>252</v>
      </c>
      <c r="C107" s="34">
        <f>MAX(B108:B114)</f>
        <v>11303.445399999997</v>
      </c>
    </row>
    <row r="108" spans="2:3" x14ac:dyDescent="0.45">
      <c r="B108" s="4" t="str">
        <f>IF(L48&lt;12450,0+(L48)*0.19,"")</f>
        <v/>
      </c>
      <c r="C108" s="4"/>
    </row>
    <row r="109" spans="2:3" x14ac:dyDescent="0.45">
      <c r="B109" s="4" t="str">
        <f>IF(AND(L48&gt;=12450,L48&lt;20200),2365.5+(L48-12450)*0.24,"")</f>
        <v/>
      </c>
      <c r="C109" s="4"/>
    </row>
    <row r="110" spans="2:3" x14ac:dyDescent="0.45">
      <c r="B110" s="4" t="str">
        <f>IF(AND(L48&gt;=20200,L48&lt;35200),4225.5+(L48-20200)*0.3,"")</f>
        <v/>
      </c>
      <c r="C110" s="4"/>
    </row>
    <row r="111" spans="2:3" x14ac:dyDescent="0.45">
      <c r="B111" s="4">
        <f>IF(AND(L48&gt;=35200,L48&lt;60000),8725.5+(L48-35200)*0.37,"")</f>
        <v>11303.445399999997</v>
      </c>
      <c r="C111" s="4"/>
    </row>
    <row r="112" spans="2:3" x14ac:dyDescent="0.45">
      <c r="B112" s="4" t="str">
        <f>IF(AND(L48&gt;=60000,L48&lt;300000),17901.5+(L48-60000)*0.45,"")</f>
        <v/>
      </c>
      <c r="C112" s="4"/>
    </row>
    <row r="113" spans="2:3" x14ac:dyDescent="0.45">
      <c r="B113" s="4" t="str">
        <f>IF(L48&gt;300000,125901.5+(L48-300000)*0.47,"")</f>
        <v/>
      </c>
      <c r="C113" s="4"/>
    </row>
    <row r="114" spans="2:3" x14ac:dyDescent="0.45">
      <c r="B114" s="4"/>
      <c r="C114" s="4"/>
    </row>
    <row r="115" spans="2:3" x14ac:dyDescent="0.45">
      <c r="B115" s="4"/>
      <c r="C115" s="4"/>
    </row>
    <row r="116" spans="2:3" x14ac:dyDescent="0.45">
      <c r="B116" s="4" t="s">
        <v>253</v>
      </c>
      <c r="C116" s="4"/>
    </row>
    <row r="117" spans="2:3" x14ac:dyDescent="0.45">
      <c r="B117" s="4" t="s">
        <v>255</v>
      </c>
      <c r="C117" s="4"/>
    </row>
    <row r="118" spans="2:3" x14ac:dyDescent="0.45">
      <c r="B118" s="4" t="s">
        <v>254</v>
      </c>
      <c r="C118" s="4"/>
    </row>
    <row r="119" spans="2:3" x14ac:dyDescent="0.45">
      <c r="B119" s="4">
        <f>IF(AND(L35&lt;=35200,C68=1,C35=1),(L35-(17270+C118+C119))*0.43,0)</f>
        <v>0</v>
      </c>
      <c r="C119" s="4"/>
    </row>
    <row r="120" spans="2:3" x14ac:dyDescent="0.45">
      <c r="B120" s="4">
        <f>IF(AND(L35&lt;=35200,C68=1,C35&gt;1),(L35-(18617+C118+C119))*0.43,0)</f>
        <v>0</v>
      </c>
      <c r="C120" s="4"/>
    </row>
    <row r="121" spans="2:3" x14ac:dyDescent="0.45">
      <c r="B121" s="4">
        <f>IF(AND(L35&lt;=35200,C68=2,C35=0),(L35-(16696+C118+C119))*0.43,0)</f>
        <v>0</v>
      </c>
      <c r="C121" s="4"/>
    </row>
    <row r="122" spans="2:3" x14ac:dyDescent="0.45">
      <c r="B122" s="4">
        <f>IF(AND(L35&lt;=35200,C68=2,C35=1),(L35-(17894+C118+C119))*0.43,0)</f>
        <v>0</v>
      </c>
      <c r="C122" s="4"/>
    </row>
    <row r="123" spans="2:3" x14ac:dyDescent="0.45">
      <c r="B123" s="4">
        <f>IF(AND(L35&lt;=35200,C68=2,C35&gt;1),(L35-(19241+C118+C119))*0.43,0)</f>
        <v>0</v>
      </c>
      <c r="C123" s="4"/>
    </row>
    <row r="124" spans="2:3" x14ac:dyDescent="0.45">
      <c r="B124" s="4">
        <f>IF(AND(L35&lt;=35200,C68=3,C35=0),(L35-(15000+C118+C119))*0.43,0)</f>
        <v>0</v>
      </c>
      <c r="C124" s="4"/>
    </row>
    <row r="125" spans="2:3" x14ac:dyDescent="0.45">
      <c r="B125" s="4">
        <f>IF(AND(L35&lt;=35200,C68=3,C35=1),(L35-(15599+C118+C119))*0.43,0)</f>
        <v>0</v>
      </c>
      <c r="C125" s="4"/>
    </row>
    <row r="126" spans="2:3" x14ac:dyDescent="0.45">
      <c r="B126" s="4">
        <f>IF(AND(L35&lt;=35200,C68=3,C35&gt;1),(L35-(16272+C118+C119))*0.43,0)</f>
        <v>0</v>
      </c>
      <c r="C126" s="4"/>
    </row>
    <row r="127" spans="2:3" x14ac:dyDescent="0.45">
      <c r="B127" s="4" t="s">
        <v>257</v>
      </c>
      <c r="C127" s="4" t="str">
        <f>IF(MAX(B119:B126)&gt;0,"Sí","No")</f>
        <v>No</v>
      </c>
    </row>
    <row r="128" spans="2:3" x14ac:dyDescent="0.45">
      <c r="B128" s="4" t="s">
        <v>258</v>
      </c>
      <c r="C128" s="4">
        <f>MAX(B119:B126)</f>
        <v>0</v>
      </c>
    </row>
    <row r="129" spans="2:3" x14ac:dyDescent="0.45">
      <c r="B129" s="4" t="s">
        <v>256</v>
      </c>
      <c r="C129" s="35">
        <f>IF(C127="No",C106,IF(C106&gt;C128,C128,C106))</f>
        <v>10248.945399999997</v>
      </c>
    </row>
    <row r="130" spans="2:3" x14ac:dyDescent="0.45">
      <c r="B130" s="4"/>
      <c r="C130" s="4"/>
    </row>
    <row r="131" spans="2:3" x14ac:dyDescent="0.45">
      <c r="B131" s="4"/>
      <c r="C131" s="4"/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</sheetData>
  <sheetProtection algorithmName="SHA-512" hashValue="mh8YZCmpVk3U0MIuKDTJ2sBRmhDOXrJ9BFt6gxvWFZQeE8XMmHPdTR2Xn8rB2fDgyEmDZyPKuGClSNNo5bovJQ==" saltValue="5accG2mr2SZ9dRQLkXlRNA==" spinCount="100000" sheet="1" objects="1" scenarios="1"/>
  <mergeCells count="13">
    <mergeCell ref="J2:K2"/>
    <mergeCell ref="M4:M5"/>
    <mergeCell ref="B28:C28"/>
    <mergeCell ref="B69:C69"/>
    <mergeCell ref="B3:C3"/>
    <mergeCell ref="J3:K3"/>
    <mergeCell ref="J4:K5"/>
    <mergeCell ref="L4:L5"/>
    <mergeCell ref="B31:C31"/>
    <mergeCell ref="B41:B43"/>
    <mergeCell ref="C41:C43"/>
    <mergeCell ref="B44:B46"/>
    <mergeCell ref="C44:C46"/>
  </mergeCells>
  <dataValidations count="18">
    <dataValidation type="list" allowBlank="1" showInputMessage="1" showErrorMessage="1" sqref="C11" xr:uid="{00000000-0002-0000-0100-000000000000}">
      <formula1>$D$5:$D$6</formula1>
    </dataValidation>
    <dataValidation type="whole" allowBlank="1" showInputMessage="1" showErrorMessage="1" sqref="C6:C10" xr:uid="{00000000-0002-0000-0100-000001000000}">
      <formula1>0</formula1>
      <formula2>14</formula2>
    </dataValidation>
    <dataValidation type="whole" allowBlank="1" showInputMessage="1" showErrorMessage="1" sqref="C12" xr:uid="{00000000-0002-0000-0100-000002000000}">
      <formula1>0</formula1>
      <formula2>5</formula2>
    </dataValidation>
    <dataValidation type="decimal" allowBlank="1" showInputMessage="1" showErrorMessage="1" sqref="C4:C5" xr:uid="{00000000-0002-0000-0100-000003000000}">
      <formula1>0</formula1>
      <formula2>100</formula2>
    </dataValidation>
    <dataValidation type="list" allowBlank="1" showInputMessage="1" showErrorMessage="1" sqref="C13" xr:uid="{00000000-0002-0000-0100-000004000000}">
      <formula1>$D$13:$D$20</formula1>
    </dataValidation>
    <dataValidation type="list" allowBlank="1" showInputMessage="1" showErrorMessage="1" sqref="C14" xr:uid="{00000000-0002-0000-0100-000005000000}">
      <formula1>$F$13:$F$18</formula1>
    </dataValidation>
    <dataValidation type="list" allowBlank="1" showInputMessage="1" showErrorMessage="1" sqref="C26 C47 C66 C61 C56 C51 C39 C37 C32 C15:C24" xr:uid="{00000000-0002-0000-0100-000006000000}">
      <formula1>$H$13:$H$14</formula1>
    </dataValidation>
    <dataValidation type="whole" allowBlank="1" showInputMessage="1" showErrorMessage="1" sqref="C25" xr:uid="{00000000-0002-0000-0100-000007000000}">
      <formula1>0</formula1>
      <formula2>30</formula2>
    </dataValidation>
    <dataValidation type="whole" allowBlank="1" showInputMessage="1" showErrorMessage="1" sqref="C27" xr:uid="{00000000-0002-0000-0100-000008000000}">
      <formula1>0</formula1>
      <formula2>10000</formula2>
    </dataValidation>
    <dataValidation type="whole" allowBlank="1" showInputMessage="1" showErrorMessage="1" sqref="C30" xr:uid="{00000000-0002-0000-0100-000009000000}">
      <formula1>1980</formula1>
      <formula2>2024</formula2>
    </dataValidation>
    <dataValidation type="list" allowBlank="1" showInputMessage="1" showErrorMessage="1" sqref="C29" xr:uid="{00000000-0002-0000-0100-00000A000000}">
      <formula1>$A$35:$A$37</formula1>
    </dataValidation>
    <dataValidation type="whole" allowBlank="1" showInputMessage="1" showErrorMessage="1" sqref="C35" xr:uid="{00000000-0002-0000-0100-00000B000000}">
      <formula1>0</formula1>
      <formula2>100</formula2>
    </dataValidation>
    <dataValidation type="whole" allowBlank="1" showInputMessage="1" showErrorMessage="1" sqref="C36 C40:C41" xr:uid="{00000000-0002-0000-0100-00000C000000}">
      <formula1>0</formula1>
      <formula2>C35</formula2>
    </dataValidation>
    <dataValidation type="whole" allowBlank="1" showInputMessage="1" showErrorMessage="1" sqref="C49 C54 C59 C64" xr:uid="{00000000-0002-0000-0100-00000D000000}">
      <formula1>18</formula1>
      <formula2>130</formula2>
    </dataValidation>
    <dataValidation type="whole" allowBlank="1" showInputMessage="1" showErrorMessage="1" sqref="C52 C57 C62 C67" xr:uid="{00000000-0002-0000-0100-00000E000000}">
      <formula1>0</formula1>
      <formula2>20</formula2>
    </dataValidation>
    <dataValidation type="whole" allowBlank="1" showInputMessage="1" showErrorMessage="1" sqref="C44" xr:uid="{00000000-0002-0000-0100-00000F000000}">
      <formula1>0</formula1>
      <formula2>C40</formula2>
    </dataValidation>
    <dataValidation type="list" allowBlank="1" showInputMessage="1" showErrorMessage="1" sqref="C38 C60 C50 C55 C65" xr:uid="{00000000-0002-0000-0100-000010000000}">
      <formula1>$A$38:$A$42</formula1>
    </dataValidation>
    <dataValidation type="list" allowBlank="1" showInputMessage="1" showErrorMessage="1" sqref="B69" xr:uid="{00000000-0002-0000-0100-000011000000}">
      <formula1>$A$68:$A$70</formula1>
    </dataValidation>
  </dataValidations>
  <hyperlinks>
    <hyperlink ref="B2" location="Inicio!A1" display="Ir a inicio" xr:uid="{00000000-0004-0000-01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37"/>
  <sheetViews>
    <sheetView showRowColHeaders="0" zoomScaleNormal="100" workbookViewId="0">
      <selection activeCell="B2" sqref="B2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L4-SUM(L27:L31)</f>
        <v>2482.3889760069551</v>
      </c>
      <c r="M3" s="73">
        <f>M4-SUM(M27:M31)</f>
        <v>2037.2313439582699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SUM(L6:L25)</f>
        <v>3023.81</v>
      </c>
      <c r="M4" s="157">
        <f>SUM(M6:M25)</f>
        <v>2492.62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ROUND((C4/100)*Datos!E4,2)</f>
        <v>1387.24</v>
      </c>
      <c r="M6" s="52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ROUND(($C$4/100)*Datos!E9,2)</f>
        <v>729.14</v>
      </c>
      <c r="M7" s="53">
        <f>L7</f>
        <v>729.14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ROUND(($C$4/100)*Datos!E13,2)</f>
        <v>907.43</v>
      </c>
      <c r="M8" s="53">
        <f>L8</f>
        <v>907.43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75" customHeight="1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75" customHeight="1" thickBot="1" x14ac:dyDescent="0.5">
      <c r="A11" s="4"/>
      <c r="B11" s="105" t="s">
        <v>278</v>
      </c>
      <c r="C11" s="69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IF(C13=D14,ROUND(C4*MAX(E27:E32,G27:G32)/100,2),0)</f>
        <v>0</v>
      </c>
      <c r="M11" s="53">
        <f t="shared" ref="M11:M25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75" customHeight="1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IF(C13=D16,ROUND(C4*MAX(F27:F31,H27:H31)/100,2),0)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75" customHeight="1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IF(C13=D15,ROUND(C4*MAX(F27:F31,H27:H31)/100,2),0)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75" customHeight="1" thickBot="1" x14ac:dyDescent="0.5">
      <c r="A14" s="4"/>
      <c r="B14" s="129" t="s">
        <v>124</v>
      </c>
      <c r="C14" s="18"/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IF(C13=D17,ROUND(Datos!E77*'Profesores EA'!C4/100,2),0)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75" customHeight="1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">
        <v>48</v>
      </c>
      <c r="K15" s="61"/>
      <c r="L15" s="53">
        <f>IF(C15="Sí",ROUND(Datos!E91*'Profesores EA'!C4/100,2),0)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75" customHeight="1" x14ac:dyDescent="0.45">
      <c r="A16" s="4"/>
      <c r="B16" s="105" t="s">
        <v>45</v>
      </c>
      <c r="C16" s="106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">
        <v>273</v>
      </c>
      <c r="K16" s="62"/>
      <c r="L16" s="53">
        <f>IF(D21&gt;0,ROUND(C4*MAX(E27:E33,G27:G33)*D21/100,2),0)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75" hidden="1" customHeight="1" thickBot="1" x14ac:dyDescent="0.5">
      <c r="A17" s="4"/>
      <c r="B17" s="3" t="s">
        <v>46</v>
      </c>
      <c r="C17" s="90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/>
      <c r="K17" s="61"/>
      <c r="L17" s="53"/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75" hidden="1" customHeight="1" thickBot="1" x14ac:dyDescent="0.5">
      <c r="A18" s="4"/>
      <c r="B18" s="3" t="s">
        <v>99</v>
      </c>
      <c r="C18" s="90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/>
      <c r="K18" s="61"/>
      <c r="L18" s="53"/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75" hidden="1" customHeight="1" thickBot="1" x14ac:dyDescent="0.5">
      <c r="A19" s="4"/>
      <c r="B19" s="3" t="s">
        <v>97</v>
      </c>
      <c r="C19" s="90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/>
      <c r="K19" s="61"/>
      <c r="L19" s="53"/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75" hidden="1" customHeight="1" thickBot="1" x14ac:dyDescent="0.5">
      <c r="A20" s="4"/>
      <c r="B20" s="3" t="s">
        <v>98</v>
      </c>
      <c r="C20" s="90" t="s">
        <v>138</v>
      </c>
      <c r="D20" s="4" t="s">
        <v>277</v>
      </c>
      <c r="E20" s="4"/>
      <c r="F20" s="4"/>
      <c r="G20" s="4"/>
      <c r="H20" s="4"/>
      <c r="I20" s="4"/>
      <c r="K20" s="61"/>
      <c r="L20" s="53">
        <f>IF(C15="Sí",ROUND(Datos!E91*'Profesores EA'!C4/100,2),0)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75" hidden="1" customHeight="1" thickBot="1" x14ac:dyDescent="0.5">
      <c r="A21" s="4"/>
      <c r="B21" s="3" t="s">
        <v>49</v>
      </c>
      <c r="C21" s="90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IF(C22="Sí",ROUND(Datos!E97*'Profesores EA'!C4/100,2),0)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75" hidden="1" customHeight="1" x14ac:dyDescent="0.45">
      <c r="A22" s="4"/>
      <c r="B22" s="3" t="s">
        <v>269</v>
      </c>
      <c r="C22" s="90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IF(C23="Sí",ROUND(C4*SUM(D23:D25)/100,2),0)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75" hidden="1" customHeight="1" x14ac:dyDescent="0.45">
      <c r="A23" s="4"/>
      <c r="B23" s="105" t="s">
        <v>144</v>
      </c>
      <c r="C23" s="106" t="s">
        <v>138</v>
      </c>
      <c r="D23" s="4">
        <f>IF(C23="No",0,Datos!E102)</f>
        <v>0</v>
      </c>
      <c r="E23" s="4"/>
      <c r="F23" s="4"/>
      <c r="G23" s="4"/>
      <c r="H23" s="4"/>
      <c r="I23" s="4"/>
      <c r="J23" s="36" t="s">
        <v>153</v>
      </c>
      <c r="K23" s="61"/>
      <c r="L23" s="53">
        <f>IF(C26="Sí",ROUND(C4*MIN(D27:D36)/100,2),0)</f>
        <v>0</v>
      </c>
      <c r="M23" s="53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75" hidden="1" customHeight="1" x14ac:dyDescent="0.45">
      <c r="A24" s="4"/>
      <c r="B24" s="107" t="s">
        <v>142</v>
      </c>
      <c r="C24" s="106" t="s">
        <v>138</v>
      </c>
      <c r="D24" s="4">
        <f>IF(AND(C23="Sí",C24="Sí"),Datos!E103,0)</f>
        <v>0</v>
      </c>
      <c r="E24" s="4"/>
      <c r="F24" s="4"/>
      <c r="G24" s="4"/>
      <c r="H24" s="4"/>
      <c r="I24" s="4"/>
      <c r="L24" s="53">
        <f>IF(D21&gt;0,ROUND(C4*MAX(E27:E33,G27:G33)*D21/100,2),0)</f>
        <v>0</v>
      </c>
      <c r="M24" s="53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75" hidden="1" customHeight="1" thickBot="1" x14ac:dyDescent="0.5">
      <c r="A25" s="4"/>
      <c r="B25" s="107" t="s">
        <v>143</v>
      </c>
      <c r="C25" s="106">
        <v>0</v>
      </c>
      <c r="D25" s="4">
        <f>IF(C23="Sí",C25*Datos!E104,0)</f>
        <v>0</v>
      </c>
      <c r="E25" s="4"/>
      <c r="F25" s="4"/>
      <c r="G25" s="4"/>
      <c r="H25" s="4"/>
      <c r="I25" s="4"/>
      <c r="J25" s="54" t="s">
        <v>283</v>
      </c>
      <c r="K25" s="63"/>
      <c r="L25" s="55">
        <f>IF(C21="Sí",ROUND(Datos!E92*C4/100,2),0)</f>
        <v>0</v>
      </c>
      <c r="M25" s="55">
        <f t="shared" si="1"/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75" customHeight="1" x14ac:dyDescent="0.45">
      <c r="A26" s="4"/>
      <c r="B26" s="105" t="s">
        <v>145</v>
      </c>
      <c r="C26" s="106" t="s">
        <v>138</v>
      </c>
      <c r="D26" s="4"/>
      <c r="E26" s="4" t="s">
        <v>125</v>
      </c>
      <c r="F26" s="4" t="s">
        <v>154</v>
      </c>
      <c r="G26" s="4" t="s">
        <v>280</v>
      </c>
      <c r="H26" s="4" t="s">
        <v>281</v>
      </c>
      <c r="I26" s="4"/>
      <c r="J26" s="57" t="s">
        <v>162</v>
      </c>
      <c r="K26" s="58"/>
      <c r="L26" s="59"/>
      <c r="M26" s="58"/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4.75" customHeight="1" x14ac:dyDescent="0.45">
      <c r="A27" s="4"/>
      <c r="B27" s="107" t="s">
        <v>146</v>
      </c>
      <c r="C27" s="106">
        <v>0</v>
      </c>
      <c r="D27" s="4">
        <f>IF($C$27&lt;=50,Datos!E107,"")</f>
        <v>17.649999999999999</v>
      </c>
      <c r="E27" s="4" t="str">
        <f>IF(AND(C11=D5,$D12=$D$14,$C$14=F13),Datos!E64,"")</f>
        <v/>
      </c>
      <c r="F27" s="4" t="str">
        <f>IF(AND(OR($C$13=$D$15,$C$13=$D$16),$C$14=F13,C11=D5),Datos!E68,"")</f>
        <v/>
      </c>
      <c r="G27" s="4" t="str">
        <f>IF(AND(C11=D6,$D12=$D$14,$C$14=F13),Datos!E32,"")</f>
        <v/>
      </c>
      <c r="H27" s="4" t="str">
        <f>IF(AND(OR($C$13=$D$15,$C$13=$D$16),$C$14=F13,C11=D6),Datos!E38,"")</f>
        <v/>
      </c>
      <c r="I27" s="4"/>
      <c r="J27" s="7" t="s">
        <v>231</v>
      </c>
      <c r="K27" s="40"/>
      <c r="L27" s="20">
        <f>IF(OR(C29="Funcionario/a de carrera",C29="Funcionario/a en prácticas"),51.68,0)</f>
        <v>51.68</v>
      </c>
      <c r="M27" s="49">
        <f>L27</f>
        <v>51.68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59" t="s">
        <v>233</v>
      </c>
      <c r="C28" s="160"/>
      <c r="D28" s="4">
        <f>IF($C$27&lt;=100,Datos!E108,"")</f>
        <v>35.32</v>
      </c>
      <c r="E28" s="4" t="str">
        <f>IF(AND(C11=D5,$D$12=$D$14,$C$14=F14),Datos!E65,"")</f>
        <v/>
      </c>
      <c r="F28" s="4" t="str">
        <f>IF(AND(OR($C$13=$D$15,$C$13=$D$16),$C$14=F14,C11=D5),Datos!E69,"")</f>
        <v/>
      </c>
      <c r="G28" s="4" t="str">
        <f>IF(AND(C11=D6,$D12=$D$14,$C$14=F14),Datos!E33,"")</f>
        <v/>
      </c>
      <c r="H28" s="4" t="str">
        <f>IF(AND(OR($C$13=$D$15,$C$13=$D$16),$C$14=F14,C11=D6),Datos!E39,"")</f>
        <v/>
      </c>
      <c r="I28" s="4"/>
      <c r="J28" s="7" t="s">
        <v>232</v>
      </c>
      <c r="K28" s="40"/>
      <c r="L28" s="20">
        <f>IF(AND(L27&gt;0,C30&lt;2011,C30&gt;0),118.04,0)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29" t="s">
        <v>158</v>
      </c>
      <c r="C29" s="18" t="s">
        <v>159</v>
      </c>
      <c r="D29" s="4">
        <f>IF($C$27&lt;=150,Datos!E109,"")</f>
        <v>52.97</v>
      </c>
      <c r="E29" s="4" t="str">
        <f>IF(AND(C11=D5,$D$12=$D$14,$C$14=F15),Datos!E66,"")</f>
        <v/>
      </c>
      <c r="F29" s="4" t="str">
        <f>IF(AND(OR($C$13=$D$15,$C$13=$D$16),$C$14=F15,C11=D5),Datos!E70,"")</f>
        <v/>
      </c>
      <c r="G29" s="4" t="str">
        <f>IF(AND(C11=D6,$D12=$D$14,$C$14=F15),Datos!E34,"")</f>
        <v/>
      </c>
      <c r="H29" s="4" t="str">
        <f>IF(AND(OR($C$13=$D$15,$C$13=$D$16),$C$14=F15,C11=D6),Datos!E40,"")</f>
        <v/>
      </c>
      <c r="I29" s="4"/>
      <c r="J29" s="7" t="s">
        <v>163</v>
      </c>
      <c r="K29" s="40"/>
      <c r="L29" s="20">
        <f>IF(OR(C29=A36,AND(C29=A35,C30&gt;=2011)),(L4+(M4/6))*L68,0)</f>
        <v>0</v>
      </c>
      <c r="M29" s="9">
        <v>0</v>
      </c>
      <c r="P29" s="4"/>
      <c r="Q29" s="4"/>
      <c r="R29" s="4"/>
      <c r="S29" s="4"/>
      <c r="T29" s="4"/>
      <c r="U29" s="4"/>
      <c r="V29" s="4"/>
      <c r="W29" s="4"/>
    </row>
    <row r="30" spans="1:29" ht="14.65" thickBot="1" x14ac:dyDescent="0.5">
      <c r="A30" s="4"/>
      <c r="B30" s="129" t="str">
        <f>IF(C29=A35,"¿En qué año aprobaste la oposición?","")</f>
        <v>¿En qué año aprobaste la oposición?</v>
      </c>
      <c r="C30" s="18"/>
      <c r="D30" s="4">
        <f>IF($C$27&lt;=200,Datos!E110,"")</f>
        <v>70.64</v>
      </c>
      <c r="E30" s="4" t="str">
        <f>IF(AND(C11=D5,$D$12=$D$14,$C$14=F16),Datos!E67,"")</f>
        <v/>
      </c>
      <c r="F30" s="4" t="str">
        <f>IF(AND(OR($C$13=$D$15,$C$13=$D$16),$C$14=F16,C11=D5),Datos!E71,"")</f>
        <v/>
      </c>
      <c r="G30" s="4" t="str">
        <f>IF(AND(C11=D6,$D12=$D$14,$C$14=F13),Datos!E35,"")</f>
        <v/>
      </c>
      <c r="H30" s="4" t="str">
        <f>IF(AND(OR($C$13=$D$15,$C$13=$D$16),$C$14=F16,C11=D6),Datos!E41,"")</f>
        <v/>
      </c>
      <c r="I30" s="4"/>
      <c r="J30" s="7" t="s">
        <v>164</v>
      </c>
      <c r="K30" s="40"/>
      <c r="L30" s="46">
        <f>IF(C29=A37,L4*0.0647+M4*0.0647/6,0)</f>
        <v>0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71" t="s">
        <v>169</v>
      </c>
      <c r="C31" s="172"/>
      <c r="D31" s="4">
        <f>IF($C$27&lt;=250,Datos!E111,"")</f>
        <v>88.29</v>
      </c>
      <c r="E31" s="4" t="str">
        <f>IF(AND($C$13=$D$14,$C$15&lt;&gt;"",$C$15&lt;&gt;$G$13,$C$14=F17),Datos!E36,"")</f>
        <v/>
      </c>
      <c r="F31" s="4"/>
      <c r="G31" s="4" t="str">
        <f>IF(AND(C11=D6,$D12=$D$14,$C$14=F16),Datos!E36,"")</f>
        <v/>
      </c>
      <c r="H31" s="4" t="str">
        <f>IF(AND(OR($C$13=$D$15,$C$13=$D$16),$C$14=F17,C11=D6),Datos!E42,"")</f>
        <v/>
      </c>
      <c r="I31" s="4"/>
      <c r="J31" s="14" t="s">
        <v>165</v>
      </c>
      <c r="K31" s="48">
        <f>L61</f>
        <v>0.16196157298012939</v>
      </c>
      <c r="L31" s="47">
        <f>L4*K31</f>
        <v>489.74102399304508</v>
      </c>
      <c r="M31" s="50">
        <f>M4*K31</f>
        <v>403.70865604173008</v>
      </c>
      <c r="O31" s="4"/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29" t="s">
        <v>171</v>
      </c>
      <c r="C32" s="18" t="s">
        <v>138</v>
      </c>
      <c r="D32" s="4">
        <f>IF($C$27&lt;=300,Datos!E112,"")</f>
        <v>105.96</v>
      </c>
      <c r="E32" s="4" t="str">
        <f>IF(AND($C$13=$D$14,$C$15&lt;&gt;"",$C$15&lt;&gt;$G$13,$C$14=F18),Datos!E37,"")</f>
        <v/>
      </c>
      <c r="F32" s="4"/>
      <c r="G32" s="4" t="str">
        <f>IF(AND(C11=D6,$D12=$D$14,$C$14=F17),Datos!E37,"")</f>
        <v/>
      </c>
      <c r="H32" s="4"/>
      <c r="I32" s="4"/>
      <c r="O32" s="4" t="s">
        <v>176</v>
      </c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191</v>
      </c>
      <c r="C33" s="116">
        <v>0</v>
      </c>
      <c r="D33" s="4">
        <f>IF($C$27&lt;=350,Datos!E113,"")</f>
        <v>123.62</v>
      </c>
      <c r="E33" s="4"/>
      <c r="F33" s="4" t="str">
        <f>IF(AND(OR($C$13=$D$15,$C$13=$D$16),$C$15&lt;&gt;"",$C$15&lt;&gt;$G$13,$C$14=F19),Datos!E44,"")</f>
        <v/>
      </c>
      <c r="G33" s="4" t="str">
        <f>IF(AND(C11=D6,$D12=$D$14,$C$14=F18),Datos!E38,"")</f>
        <v/>
      </c>
      <c r="H33" s="4"/>
      <c r="I33" s="4"/>
      <c r="O33" s="4" t="s">
        <v>177</v>
      </c>
      <c r="P33" s="4">
        <v>2400</v>
      </c>
      <c r="Q33" s="4">
        <v>2400</v>
      </c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190</v>
      </c>
      <c r="C34" s="116">
        <v>0</v>
      </c>
      <c r="D34" s="4">
        <f>IF($C$27&lt;=450,Datos!E114,"")</f>
        <v>141.27000000000001</v>
      </c>
      <c r="E34" s="4"/>
      <c r="F34" s="4"/>
      <c r="G34" s="4"/>
      <c r="H34" s="4"/>
      <c r="I34" s="4"/>
      <c r="J34" s="74" t="s">
        <v>167</v>
      </c>
      <c r="K34" s="75"/>
      <c r="L34" s="76"/>
      <c r="O34" s="4" t="s">
        <v>178</v>
      </c>
      <c r="P34" s="4">
        <v>2700</v>
      </c>
      <c r="Q34" s="4">
        <f>Q33+P34</f>
        <v>5100</v>
      </c>
      <c r="R34" s="4"/>
      <c r="S34" s="4"/>
      <c r="T34" s="4"/>
      <c r="U34" s="4"/>
      <c r="V34" s="4"/>
      <c r="W34" s="4"/>
    </row>
    <row r="35" spans="1:23" ht="14.65" thickBot="1" x14ac:dyDescent="0.5">
      <c r="A35" s="4" t="s">
        <v>159</v>
      </c>
      <c r="B35" s="41" t="s">
        <v>174</v>
      </c>
      <c r="C35" s="18">
        <v>3</v>
      </c>
      <c r="D35" s="4">
        <f>IF($C$27&lt;=450,Datos!E115,"")</f>
        <v>158.94</v>
      </c>
      <c r="E35" s="4"/>
      <c r="F35" s="4"/>
      <c r="G35" s="4"/>
      <c r="H35" s="4"/>
      <c r="I35" s="4"/>
      <c r="J35" s="36" t="s">
        <v>168</v>
      </c>
      <c r="K35" s="37"/>
      <c r="L35" s="70">
        <f>L4*12+M4*2</f>
        <v>41270.959999999999</v>
      </c>
      <c r="O35" s="4" t="s">
        <v>179</v>
      </c>
      <c r="P35" s="4">
        <v>4000</v>
      </c>
      <c r="Q35" s="4">
        <f>Q34+P35</f>
        <v>9100</v>
      </c>
      <c r="R35" s="4"/>
      <c r="S35" s="4"/>
      <c r="T35" s="4"/>
      <c r="U35" s="4"/>
      <c r="V35" s="4"/>
      <c r="W35" s="4"/>
    </row>
    <row r="36" spans="1:23" ht="14.75" customHeight="1" thickBot="1" x14ac:dyDescent="0.5">
      <c r="A36" s="4" t="s">
        <v>160</v>
      </c>
      <c r="B36" s="129" t="s">
        <v>173</v>
      </c>
      <c r="C36" s="18">
        <v>0</v>
      </c>
      <c r="D36" s="4">
        <f>IF($C$27&lt;=1000050,Datos!E116,"")</f>
        <v>176.59</v>
      </c>
      <c r="E36" s="4"/>
      <c r="F36" s="4"/>
      <c r="G36" s="4"/>
      <c r="H36" s="4"/>
      <c r="I36" s="4"/>
      <c r="J36" s="7" t="s">
        <v>259</v>
      </c>
      <c r="K36" s="8"/>
      <c r="L36" s="9">
        <f>IF(AND(C47="Sí",L35&lt;33007.2),TRUNC(L35*0.02),0)</f>
        <v>0</v>
      </c>
      <c r="M36" s="22"/>
      <c r="N36" s="22"/>
      <c r="O36" s="4" t="s">
        <v>180</v>
      </c>
      <c r="P36" s="4">
        <v>4500</v>
      </c>
      <c r="Q36" s="4"/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161</v>
      </c>
      <c r="B37" s="131" t="s">
        <v>196</v>
      </c>
      <c r="C37" s="18" t="s">
        <v>138</v>
      </c>
      <c r="D37" s="4" t="str">
        <f>IF(B69=A68,"Sí","No")</f>
        <v>Sí</v>
      </c>
      <c r="E37" s="4"/>
      <c r="F37" s="4"/>
      <c r="G37" s="4"/>
      <c r="H37" s="4"/>
      <c r="I37" s="4"/>
      <c r="J37" s="7" t="s">
        <v>265</v>
      </c>
      <c r="K37" s="8"/>
      <c r="L37" s="9">
        <f>IF(L35-L38&lt;14582,7302,IF(L35-L38&lt;17673.52,7302-(1.75*(L35-L38-14852)),IF(L35-L38&lt;19747.5,2364.34-(1.14*(L35-L38-17673.52)),0)))</f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182</v>
      </c>
      <c r="B38" s="129" t="s">
        <v>181</v>
      </c>
      <c r="C38" s="18" t="s">
        <v>182</v>
      </c>
      <c r="D38" s="4"/>
      <c r="E38" s="4"/>
      <c r="F38" s="4"/>
      <c r="G38" s="4"/>
      <c r="H38" s="4"/>
      <c r="I38" s="4"/>
      <c r="J38" s="36" t="s">
        <v>236</v>
      </c>
      <c r="K38" s="37"/>
      <c r="L38" s="70">
        <f>SUM(L27:L30)*14+SUM(M27:M30)*2</f>
        <v>826.88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184</v>
      </c>
      <c r="B39" s="131" t="s">
        <v>189</v>
      </c>
      <c r="C39" s="18" t="s">
        <v>138</v>
      </c>
      <c r="D39" s="4"/>
      <c r="E39" s="4"/>
      <c r="F39" s="4"/>
      <c r="G39" s="4"/>
      <c r="H39" s="4"/>
      <c r="I39" s="4"/>
      <c r="J39" s="36" t="s">
        <v>241</v>
      </c>
      <c r="K39" s="37"/>
      <c r="L39" s="70">
        <f>C33+2000+M40</f>
        <v>2000</v>
      </c>
      <c r="M39" s="4"/>
      <c r="N39" s="4"/>
      <c r="O39" s="22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183</v>
      </c>
      <c r="B40" s="129" t="s">
        <v>192</v>
      </c>
      <c r="C40" s="18">
        <v>1</v>
      </c>
      <c r="D40" s="4"/>
      <c r="E40" s="4"/>
      <c r="F40" s="4"/>
      <c r="G40" s="4"/>
      <c r="H40" s="4"/>
      <c r="I40" s="4"/>
      <c r="J40" s="36" t="s">
        <v>170</v>
      </c>
      <c r="K40" s="37"/>
      <c r="L40" s="70">
        <f>IF(C32="Sí",1150+5550,5550)</f>
        <v>5550</v>
      </c>
      <c r="M40" s="4">
        <f>IF(AND(C38=A41,C39="No"),3500,IF(OR(C38=A40,C38=A41),7750,0))</f>
        <v>0</v>
      </c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x14ac:dyDescent="0.45">
      <c r="A41" s="4" t="s">
        <v>185</v>
      </c>
      <c r="B41" s="173" t="s">
        <v>207</v>
      </c>
      <c r="C41" s="175">
        <v>0</v>
      </c>
      <c r="D41" s="4"/>
      <c r="E41" s="4"/>
      <c r="F41" s="4"/>
      <c r="G41" s="4"/>
      <c r="H41" s="4"/>
      <c r="I41" s="4"/>
      <c r="J41" s="36" t="s">
        <v>172</v>
      </c>
      <c r="K41" s="37"/>
      <c r="L41" s="70">
        <f>SUM(C70:C73)</f>
        <v>0</v>
      </c>
      <c r="M41" s="4"/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/>
      <c r="B42" s="173"/>
      <c r="C42" s="176"/>
      <c r="D42" s="4"/>
      <c r="E42" s="4"/>
      <c r="F42" s="4"/>
      <c r="G42" s="4"/>
      <c r="H42" s="4"/>
      <c r="I42" s="4"/>
      <c r="J42" s="36" t="s">
        <v>175</v>
      </c>
      <c r="K42" s="37"/>
      <c r="L42" s="70">
        <f>IF(C37="no",M48/2+1400*C36,M48+2800*C36)</f>
        <v>4550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thickBot="1" x14ac:dyDescent="0.5">
      <c r="A43" s="4"/>
      <c r="B43" s="174"/>
      <c r="C43" s="177"/>
      <c r="D43" s="4"/>
      <c r="E43" s="4"/>
      <c r="F43" s="4"/>
      <c r="G43" s="4"/>
      <c r="H43" s="4"/>
      <c r="I43" s="4"/>
      <c r="J43" s="36" t="s">
        <v>186</v>
      </c>
      <c r="K43" s="37"/>
      <c r="L43" s="70">
        <f>IF(C38=A40,9000,IF(C38=A41,3000,0))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x14ac:dyDescent="0.45">
      <c r="A44" s="4"/>
      <c r="B44" s="178" t="s">
        <v>207</v>
      </c>
      <c r="C44" s="175">
        <v>0</v>
      </c>
      <c r="D44" s="4"/>
      <c r="E44" s="4"/>
      <c r="F44" s="4"/>
      <c r="G44" s="4"/>
      <c r="H44" s="4"/>
      <c r="I44" s="4"/>
      <c r="J44" s="36" t="s">
        <v>187</v>
      </c>
      <c r="K44" s="37"/>
      <c r="L44" s="70">
        <f>SUM(C74:C77)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3"/>
      <c r="C45" s="176"/>
      <c r="D45" s="4"/>
      <c r="E45" s="4"/>
      <c r="F45" s="4"/>
      <c r="G45" s="4"/>
      <c r="H45" s="4"/>
      <c r="I45" s="4"/>
      <c r="J45" s="36" t="s">
        <v>188</v>
      </c>
      <c r="K45" s="37"/>
      <c r="L45" s="70">
        <f>IF(C37="Sí",M50,M50/2)</f>
        <v>6000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thickBot="1" x14ac:dyDescent="0.5">
      <c r="A46" s="4"/>
      <c r="B46" s="174"/>
      <c r="C46" s="177"/>
      <c r="D46" s="4"/>
      <c r="E46" s="4"/>
      <c r="F46" s="4"/>
      <c r="G46" s="4"/>
      <c r="H46" s="4"/>
      <c r="I46" s="4"/>
      <c r="J46" s="36" t="s">
        <v>206</v>
      </c>
      <c r="K46" s="37"/>
      <c r="L46" s="70">
        <f>IF(OR(C39="Sí",C38=A40),3000,0)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22"/>
      <c r="B47" s="129" t="s">
        <v>267</v>
      </c>
      <c r="C47" s="18" t="s">
        <v>138</v>
      </c>
      <c r="D47" s="4"/>
      <c r="E47" s="4"/>
      <c r="F47" s="4"/>
      <c r="G47" s="4"/>
      <c r="H47" s="4"/>
      <c r="I47" s="4"/>
      <c r="J47" s="7" t="s">
        <v>208</v>
      </c>
      <c r="K47" s="8"/>
      <c r="L47" s="9">
        <f>SUM(L40:L46)</f>
        <v>16100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260</v>
      </c>
      <c r="C48" s="117"/>
      <c r="D48" s="4"/>
      <c r="E48" s="4"/>
      <c r="F48" s="4"/>
      <c r="G48" s="4"/>
      <c r="H48" s="4"/>
      <c r="I48" s="4"/>
      <c r="J48" s="7" t="s">
        <v>209</v>
      </c>
      <c r="K48" s="8"/>
      <c r="L48" s="9">
        <f>MAX(0,L35-L38-L39-L37)</f>
        <v>38444.080000000002</v>
      </c>
      <c r="M48" s="4">
        <f>IF(C35=1,Q33,IF(C35=2,Q34,IF(C35=3,Q35,IF(C35&lt;1,0,Q35+4500*(C35-3)))))</f>
        <v>9100</v>
      </c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25" t="s">
        <v>193</v>
      </c>
      <c r="C49" s="109"/>
      <c r="D49" s="4"/>
      <c r="E49" s="4"/>
      <c r="F49" s="4"/>
      <c r="G49" s="4"/>
      <c r="H49" s="4"/>
      <c r="I49" s="4"/>
      <c r="J49" s="7" t="s">
        <v>210</v>
      </c>
      <c r="K49" s="8"/>
      <c r="L49" s="9">
        <f>IF(L47&gt;12450,0,MAX(0,MIN(12450,L48)-L47))</f>
        <v>0</v>
      </c>
      <c r="M49" s="4"/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194</v>
      </c>
      <c r="C50" s="109" t="s">
        <v>182</v>
      </c>
      <c r="D50" s="4"/>
      <c r="E50" s="4"/>
      <c r="F50" s="4"/>
      <c r="G50" s="4"/>
      <c r="H50" s="4"/>
      <c r="I50" s="4"/>
      <c r="J50" s="7" t="s">
        <v>211</v>
      </c>
      <c r="K50" s="8"/>
      <c r="L50" s="9">
        <f>IF(IF(L47&gt;20200,0,IF(L48&gt;20200,MIN(20200-L47,20200-12450),MIN(L48-L47,L48-12450)))&lt;0,0,IF(L47&gt;20200,0,IF(L48&gt;20200,MIN(20200-L47,20200-12450),MIN(L48-L47,L48-12450))))</f>
        <v>4100</v>
      </c>
      <c r="M50" s="4">
        <f>C40*12000+C41*6000+C44*3000</f>
        <v>12000</v>
      </c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201</v>
      </c>
      <c r="C51" s="18" t="s">
        <v>138</v>
      </c>
      <c r="D51" s="4"/>
      <c r="E51" s="4"/>
      <c r="F51" s="4"/>
      <c r="G51" s="4"/>
      <c r="H51" s="4"/>
      <c r="I51" s="4"/>
      <c r="J51" s="7" t="s">
        <v>212</v>
      </c>
      <c r="K51" s="8"/>
      <c r="L51" s="9">
        <f>IF(IF(L47&gt;35200,0,IF(L48&gt;35200,MIN(35200-L47,35200-20200),MIN(L48-L47,L48-20200)))&lt;0,0,IF(L47&gt;35200,0,IF(L48&gt;35200,MIN(35200-L47,35200-20200),MIN(L48-L47,L48-20200))))</f>
        <v>15000</v>
      </c>
      <c r="M51" s="4"/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4"/>
      <c r="B52" s="26" t="s">
        <v>195</v>
      </c>
      <c r="C52" s="109"/>
      <c r="D52" s="4"/>
      <c r="E52" s="4"/>
      <c r="F52" s="4"/>
      <c r="G52" s="4"/>
      <c r="H52" s="4"/>
      <c r="I52" s="4"/>
      <c r="J52" s="7" t="s">
        <v>213</v>
      </c>
      <c r="K52" s="8"/>
      <c r="L52" s="9">
        <f>IF(IF(L47&gt;60000,0,IF(L48&gt;60000,MIN(35200-L47,60000-35200),MIN(L48-L47,L48-35200)))&lt;0,0,IF(L47&gt;60000,0,IF(L48&gt;60000,MIN(35200-L47,60000-35200),MIN(L48-L47,L48-35200))))</f>
        <v>3244.0800000000017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129" t="s">
        <v>261</v>
      </c>
      <c r="C53" s="117"/>
      <c r="H53" s="4"/>
      <c r="I53" s="4"/>
      <c r="J53" s="7" t="s">
        <v>214</v>
      </c>
      <c r="K53" s="8"/>
      <c r="L53" s="9">
        <f>IF(IF(L47&gt;30000,0,IF(L48&gt;300000,MIN(60000-L47,300000-60000),MIN(L48-L47,L48-60000)))&lt;0,0,IF(L47&gt;30000,0,IF(L48&gt;300000,MIN(60000-L47,300000-60000),MIN(L48-L47,L48-60000))))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25" t="s">
        <v>193</v>
      </c>
      <c r="C54" s="109"/>
      <c r="H54" s="4"/>
      <c r="I54" s="4"/>
      <c r="J54" s="7" t="s">
        <v>215</v>
      </c>
      <c r="K54" s="8"/>
      <c r="L54" s="9">
        <f>ROUND(L49*0.19,2)</f>
        <v>0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194</v>
      </c>
      <c r="C55" s="109" t="s">
        <v>182</v>
      </c>
      <c r="G55" s="4"/>
      <c r="H55" s="4"/>
      <c r="I55" s="4"/>
      <c r="J55" s="7" t="s">
        <v>216</v>
      </c>
      <c r="K55" s="8"/>
      <c r="L55" s="9">
        <f>ROUND(L50*0.24,2)</f>
        <v>984</v>
      </c>
      <c r="M55" s="4"/>
      <c r="N55" s="4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201</v>
      </c>
      <c r="C56" s="18" t="s">
        <v>138</v>
      </c>
      <c r="G56" s="4"/>
      <c r="H56" s="4"/>
      <c r="I56" s="4"/>
      <c r="J56" s="7" t="s">
        <v>217</v>
      </c>
      <c r="K56" s="8"/>
      <c r="L56" s="9">
        <f>ROUND(L51*0.3,2)</f>
        <v>4500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6" t="s">
        <v>195</v>
      </c>
      <c r="C57" s="109"/>
      <c r="G57" s="4"/>
      <c r="H57" s="4"/>
      <c r="I57" s="4"/>
      <c r="J57" s="7" t="s">
        <v>218</v>
      </c>
      <c r="K57" s="8"/>
      <c r="L57" s="9">
        <f>ROUND(L52*0.37,2)</f>
        <v>1200.31</v>
      </c>
      <c r="P57" s="4"/>
      <c r="Q57" s="4"/>
      <c r="R57" s="4"/>
      <c r="S57" s="4"/>
      <c r="T57" s="4"/>
      <c r="U57" s="4"/>
      <c r="V57" s="4"/>
      <c r="W57" s="4"/>
    </row>
    <row r="58" spans="1:23" ht="14.65" thickBot="1" x14ac:dyDescent="0.5">
      <c r="A58" s="4"/>
      <c r="B58" s="129" t="s">
        <v>262</v>
      </c>
      <c r="C58" s="117"/>
      <c r="G58" s="4"/>
      <c r="H58" s="4"/>
      <c r="I58" s="4"/>
      <c r="J58" s="7" t="s">
        <v>219</v>
      </c>
      <c r="K58" s="8"/>
      <c r="L58" s="9">
        <f>ROUND(L53*0.45,2)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25" t="s">
        <v>193</v>
      </c>
      <c r="C59" s="109"/>
      <c r="G59" s="4"/>
      <c r="H59" s="4"/>
      <c r="I59" s="4"/>
      <c r="J59" s="7" t="s">
        <v>266</v>
      </c>
      <c r="K59" s="8"/>
      <c r="L59" s="49">
        <f>SUM(L54:L58)</f>
        <v>6684.3099999999995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194</v>
      </c>
      <c r="C60" s="109" t="s">
        <v>182</v>
      </c>
      <c r="G60" s="4"/>
      <c r="H60" s="4"/>
      <c r="I60" s="4"/>
      <c r="J60" s="7" t="s">
        <v>264</v>
      </c>
      <c r="K60" s="8"/>
      <c r="L60" s="49">
        <f>MAX(0,C129-L36)</f>
        <v>6684.3096000000005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7" t="s">
        <v>201</v>
      </c>
      <c r="C61" s="18" t="s">
        <v>138</v>
      </c>
      <c r="G61" s="4"/>
      <c r="H61" s="4"/>
      <c r="I61" s="4"/>
      <c r="J61" s="80" t="s">
        <v>220</v>
      </c>
      <c r="K61" s="81"/>
      <c r="L61" s="82">
        <f>IF(M61&lt;0.02,0.02,M61)</f>
        <v>0.16196157298012939</v>
      </c>
      <c r="M61" s="4">
        <f>IF(L60&lt;L59,L60/L35,L59/L35)</f>
        <v>0.16196157298012939</v>
      </c>
    </row>
    <row r="62" spans="1:23" ht="14.65" thickBot="1" x14ac:dyDescent="0.5">
      <c r="A62" s="4"/>
      <c r="B62" s="26" t="s">
        <v>195</v>
      </c>
      <c r="C62" s="109"/>
      <c r="G62" s="4"/>
      <c r="H62" s="4"/>
      <c r="I62" s="4"/>
    </row>
    <row r="63" spans="1:23" ht="14.65" thickBot="1" x14ac:dyDescent="0.5">
      <c r="A63" s="4"/>
      <c r="B63" s="129" t="s">
        <v>263</v>
      </c>
      <c r="C63" s="117"/>
      <c r="G63" s="4"/>
      <c r="H63" s="4"/>
      <c r="I63" s="4"/>
      <c r="J63" s="74" t="s">
        <v>222</v>
      </c>
      <c r="K63" s="77"/>
      <c r="L63" s="78"/>
    </row>
    <row r="64" spans="1:23" ht="14.65" thickBot="1" x14ac:dyDescent="0.5">
      <c r="A64" s="4"/>
      <c r="B64" s="25" t="s">
        <v>193</v>
      </c>
      <c r="C64" s="109"/>
      <c r="G64" s="4"/>
      <c r="H64" s="4"/>
      <c r="I64" s="4"/>
      <c r="J64" s="7" t="s">
        <v>224</v>
      </c>
      <c r="L64" s="71">
        <v>4.7E-2</v>
      </c>
    </row>
    <row r="65" spans="1:12" ht="14.65" thickBot="1" x14ac:dyDescent="0.5">
      <c r="A65" s="4"/>
      <c r="B65" s="25" t="s">
        <v>194</v>
      </c>
      <c r="C65" s="109" t="s">
        <v>182</v>
      </c>
      <c r="G65" s="4"/>
      <c r="H65" s="4"/>
      <c r="I65" s="4"/>
      <c r="J65" s="7" t="s">
        <v>225</v>
      </c>
      <c r="L65" s="71">
        <v>1.1999999999999999E-3</v>
      </c>
    </row>
    <row r="66" spans="1:12" ht="14.65" thickBot="1" x14ac:dyDescent="0.5">
      <c r="A66" s="4"/>
      <c r="B66" s="27" t="s">
        <v>201</v>
      </c>
      <c r="C66" s="18" t="s">
        <v>138</v>
      </c>
      <c r="G66" s="4"/>
      <c r="H66" s="4"/>
      <c r="I66" s="4"/>
      <c r="J66" s="7" t="s">
        <v>230</v>
      </c>
      <c r="L66" s="71">
        <v>0.28299999999999997</v>
      </c>
    </row>
    <row r="67" spans="1:12" ht="14.65" thickBot="1" x14ac:dyDescent="0.5">
      <c r="A67" s="4"/>
      <c r="B67" s="27" t="s">
        <v>195</v>
      </c>
      <c r="C67" s="109"/>
      <c r="G67" s="4"/>
      <c r="H67" s="4"/>
      <c r="I67" s="4"/>
      <c r="J67" s="7" t="s">
        <v>229</v>
      </c>
      <c r="L67" s="40">
        <v>1.0999999999999999E-2</v>
      </c>
    </row>
    <row r="68" spans="1:12" ht="14.65" thickBot="1" x14ac:dyDescent="0.5">
      <c r="A68" s="30" t="s">
        <v>240</v>
      </c>
      <c r="B68" s="41" t="s">
        <v>237</v>
      </c>
      <c r="C68" s="69">
        <f>IF(B69=A68,1,IF(B69=A69,2,IF(B69=A70,3,0)))</f>
        <v>1</v>
      </c>
      <c r="G68" s="4"/>
      <c r="H68" s="4"/>
      <c r="I68" s="4"/>
      <c r="J68" s="80" t="s">
        <v>228</v>
      </c>
      <c r="K68" s="81"/>
      <c r="L68" s="83">
        <f>L64+L65-ROUND((L66*L67),4)</f>
        <v>4.5100000000000001E-2</v>
      </c>
    </row>
    <row r="69" spans="1:12" ht="42" customHeight="1" thickBot="1" x14ac:dyDescent="0.5">
      <c r="A69" s="30" t="s">
        <v>238</v>
      </c>
      <c r="B69" s="161" t="s">
        <v>240</v>
      </c>
      <c r="C69" s="162"/>
      <c r="G69" s="4"/>
      <c r="H69" s="4"/>
      <c r="I69" s="4"/>
    </row>
    <row r="70" spans="1:12" x14ac:dyDescent="0.45">
      <c r="A70" s="30" t="s">
        <v>239</v>
      </c>
      <c r="B70" s="4" t="s">
        <v>197</v>
      </c>
      <c r="C70" s="4">
        <f>IF(C49&gt;=75,ROUND((1150+1400)/C52,2),IF(C49&gt;=65,ROUND(1150/C52,2),0))</f>
        <v>0</v>
      </c>
      <c r="G70" s="4"/>
      <c r="H70" s="4"/>
      <c r="I70" s="4"/>
      <c r="J70" s="74" t="s">
        <v>223</v>
      </c>
      <c r="K70" s="77"/>
      <c r="L70" s="78"/>
    </row>
    <row r="71" spans="1:12" x14ac:dyDescent="0.45">
      <c r="A71" s="4"/>
      <c r="B71" s="4" t="s">
        <v>198</v>
      </c>
      <c r="C71" s="4">
        <f>IF(C54&gt;=75,ROUND((1150+1400)/C57,2),IF(C54&gt;=65,ROUND(1150/C57,2),0))</f>
        <v>0</v>
      </c>
      <c r="D71" s="4"/>
      <c r="E71" s="4"/>
      <c r="F71" s="4"/>
      <c r="G71" s="4"/>
      <c r="H71" s="4"/>
      <c r="I71" s="4"/>
      <c r="J71" s="7" t="s">
        <v>224</v>
      </c>
      <c r="L71" s="71">
        <v>4.7E-2</v>
      </c>
    </row>
    <row r="72" spans="1:12" x14ac:dyDescent="0.45">
      <c r="A72" s="4"/>
      <c r="B72" s="4" t="s">
        <v>199</v>
      </c>
      <c r="C72" s="4">
        <f>IF(C59&gt;=75,ROUND((1150+1400)/C62,2),IF(C59&gt;=65,ROUND(1150/C62,2),0))</f>
        <v>0</v>
      </c>
      <c r="D72" s="4"/>
      <c r="E72" s="4"/>
      <c r="F72" s="4"/>
      <c r="G72" s="4"/>
      <c r="H72" s="4"/>
      <c r="I72" s="4"/>
      <c r="J72" s="7" t="s">
        <v>225</v>
      </c>
      <c r="L72" s="71">
        <v>1.1999999999999999E-3</v>
      </c>
    </row>
    <row r="73" spans="1:12" x14ac:dyDescent="0.45">
      <c r="A73" s="4"/>
      <c r="B73" s="4" t="s">
        <v>200</v>
      </c>
      <c r="C73" s="4">
        <f>IF(C64&gt;=75,ROUND((1150+1400)/C67,2),IF(C64&gt;=65,ROUND(1150/C67,2),0))</f>
        <v>0</v>
      </c>
      <c r="D73" s="4"/>
      <c r="E73" s="4"/>
      <c r="F73" s="4"/>
      <c r="G73" s="4"/>
      <c r="H73" s="4"/>
      <c r="I73" s="4"/>
      <c r="J73" s="7" t="s">
        <v>226</v>
      </c>
      <c r="L73" s="71">
        <v>1.55E-2</v>
      </c>
    </row>
    <row r="74" spans="1:12" x14ac:dyDescent="0.45">
      <c r="B74" s="4" t="s">
        <v>202</v>
      </c>
      <c r="C74" s="4">
        <f>IF(C49&lt;65,0,IF(C50=A40,ROUND(12000/C52,2),IF(AND(C50=A41,C51="No"),ROUND(3000/C52,2),IF(AND(C50=A41,C51="Sí"),ROUND(6000/C52,2),""))))</f>
        <v>0</v>
      </c>
      <c r="D74" s="4"/>
      <c r="E74" s="4"/>
      <c r="F74" s="4"/>
      <c r="G74" s="4"/>
      <c r="H74" s="4"/>
      <c r="I74" s="4"/>
      <c r="J74" s="7" t="s">
        <v>227</v>
      </c>
      <c r="L74" s="71">
        <v>1E-3</v>
      </c>
    </row>
    <row r="75" spans="1:12" ht="14.65" thickBot="1" x14ac:dyDescent="0.5">
      <c r="B75" s="4" t="s">
        <v>203</v>
      </c>
      <c r="C75" s="4">
        <f>IF(C54&lt;65,0,IF(C55=A40,ROUND(12000/C57,2),IF(AND(C55=A41,C56="No"),ROUND(3000/C57,2),IF(AND(C55=A41,C56="Sí"),ROUND(6000/C57,2),""))))</f>
        <v>0</v>
      </c>
      <c r="D75" s="4"/>
      <c r="E75" s="4"/>
      <c r="F75" s="4"/>
      <c r="G75" s="4"/>
      <c r="H75" s="4"/>
      <c r="I75" s="4"/>
      <c r="J75" s="80" t="s">
        <v>228</v>
      </c>
      <c r="K75" s="81"/>
      <c r="L75" s="82">
        <f>SUM(L71:L74)</f>
        <v>6.4700000000000008E-2</v>
      </c>
    </row>
    <row r="76" spans="1:12" x14ac:dyDescent="0.45">
      <c r="B76" s="4" t="s">
        <v>204</v>
      </c>
      <c r="C76" s="4">
        <f>IF(C59&lt;65,0,IF(C60=A40,ROUND(12000/C62,2),IF(AND(C60=A41,C61="No"),ROUND(3000/C62,2),IF(AND(C60=A41,C61="Sí"),ROUND(6000/C62,2),""))))</f>
        <v>0</v>
      </c>
      <c r="D76" s="4"/>
      <c r="E76" s="4"/>
      <c r="F76" s="4"/>
      <c r="G76" s="4"/>
      <c r="H76" s="4"/>
      <c r="I76" s="4"/>
    </row>
    <row r="77" spans="1:12" x14ac:dyDescent="0.45">
      <c r="B77" s="4" t="s">
        <v>205</v>
      </c>
      <c r="C77" s="4">
        <f>IF(C64&lt;65,0,IF(C65=A40,ROUND(12000/C67,2),IF(AND(C65=A41,C66="No"),ROUND(3000/C67,2),IF(AND(C65=A41,C66="Sí"),ROUND(6000/C67,2),""))))</f>
        <v>0</v>
      </c>
      <c r="D77" s="4"/>
      <c r="E77" s="4"/>
      <c r="F77" s="4"/>
      <c r="G77" s="4"/>
      <c r="H77" s="4"/>
      <c r="I77" s="4"/>
    </row>
    <row r="78" spans="1:12" x14ac:dyDescent="0.45">
      <c r="B78" s="4"/>
      <c r="C78" s="4"/>
      <c r="I78" s="4"/>
    </row>
    <row r="79" spans="1:12" x14ac:dyDescent="0.45">
      <c r="B79" s="4" t="s">
        <v>242</v>
      </c>
      <c r="C79" s="4"/>
      <c r="I79" s="4"/>
    </row>
    <row r="80" spans="1:12" x14ac:dyDescent="0.45">
      <c r="B80" s="4" t="s">
        <v>243</v>
      </c>
      <c r="C80" s="33">
        <f>L48-C34</f>
        <v>38444.080000000002</v>
      </c>
      <c r="I80" s="4"/>
    </row>
    <row r="81" spans="2:9" x14ac:dyDescent="0.45">
      <c r="B81" s="4" t="s">
        <v>244</v>
      </c>
      <c r="C81" s="33">
        <f>C34</f>
        <v>0</v>
      </c>
      <c r="I81" s="4"/>
    </row>
    <row r="82" spans="2:9" x14ac:dyDescent="0.45">
      <c r="B82" s="4" t="s">
        <v>245</v>
      </c>
      <c r="C82" s="34">
        <f>MAX(B84:B89)</f>
        <v>9925.8096000000005</v>
      </c>
      <c r="I82" s="4"/>
    </row>
    <row r="83" spans="2:9" x14ac:dyDescent="0.45">
      <c r="B83" s="4" t="s">
        <v>247</v>
      </c>
      <c r="C83" s="4"/>
      <c r="I83" s="4"/>
    </row>
    <row r="84" spans="2:9" x14ac:dyDescent="0.45">
      <c r="B84" s="4" t="str">
        <f>IF(C80&lt;12450,0+(C80)*0.19,"")</f>
        <v/>
      </c>
      <c r="C84" s="4"/>
      <c r="I84" s="4"/>
    </row>
    <row r="85" spans="2:9" x14ac:dyDescent="0.45">
      <c r="B85" s="4" t="str">
        <f>IF(AND(C80&gt;=12450,C80&lt;20200),2365.5+(C80-12450)*0.24,"")</f>
        <v/>
      </c>
      <c r="C85" s="4"/>
      <c r="I85" s="4"/>
    </row>
    <row r="86" spans="2:9" x14ac:dyDescent="0.45">
      <c r="B86" s="4" t="str">
        <f>IF(AND(C80&gt;=20200,C80&lt;35200),4225.5+(C80-20200)*0.3,"")</f>
        <v/>
      </c>
      <c r="C86" s="4"/>
      <c r="I86" s="4"/>
    </row>
    <row r="87" spans="2:9" x14ac:dyDescent="0.45">
      <c r="B87" s="4">
        <f>IF(AND(C80&gt;=35200,C80&lt;60000),8725.5+(C80-35200)*0.37,"")</f>
        <v>9925.8096000000005</v>
      </c>
      <c r="C87" s="4"/>
      <c r="I87" s="4"/>
    </row>
    <row r="88" spans="2:9" x14ac:dyDescent="0.45">
      <c r="B88" s="4" t="str">
        <f>IF(AND(C80&gt;=60000,C80&lt;300000),17901.5+(C80-60000)*0.45,"")</f>
        <v/>
      </c>
      <c r="C88" s="4"/>
      <c r="I88" s="4"/>
    </row>
    <row r="89" spans="2:9" x14ac:dyDescent="0.45">
      <c r="B89" s="4" t="str">
        <f>IF(C80&gt;300000,125901.5+(C80-300000)*0.47,"")</f>
        <v/>
      </c>
      <c r="C89" s="4"/>
      <c r="I89" s="4"/>
    </row>
    <row r="90" spans="2:9" x14ac:dyDescent="0.45">
      <c r="B90" s="4" t="s">
        <v>246</v>
      </c>
      <c r="C90" s="34">
        <f>MAX(B91:B96)</f>
        <v>0</v>
      </c>
      <c r="I90" s="4"/>
    </row>
    <row r="91" spans="2:9" x14ac:dyDescent="0.45">
      <c r="B91" s="4">
        <f>IF(C81&lt;12450,0+(C81)*0.19,"")</f>
        <v>0</v>
      </c>
      <c r="C91" s="4"/>
      <c r="I91" s="4"/>
    </row>
    <row r="92" spans="2:9" x14ac:dyDescent="0.45">
      <c r="B92" s="4" t="str">
        <f>IF(AND(C81&gt;=12450,C81&lt;20200),2365.5+(C81-12450)*0.24,"")</f>
        <v/>
      </c>
      <c r="C92" s="4"/>
      <c r="I92" s="4"/>
    </row>
    <row r="93" spans="2:9" x14ac:dyDescent="0.45">
      <c r="B93" s="4" t="str">
        <f>IF(AND(C81&gt;=20200,C81&lt;35200),4225.5+(C81-20200)*0.3,"")</f>
        <v/>
      </c>
      <c r="C93" s="4"/>
      <c r="I93" s="4"/>
    </row>
    <row r="94" spans="2:9" x14ac:dyDescent="0.45">
      <c r="B94" s="4" t="str">
        <f>IF(AND(C81&gt;=35200,C81&lt;60000),8725.5+(C81-35200)*0.37,"")</f>
        <v/>
      </c>
      <c r="C94" s="4"/>
      <c r="I94" s="4"/>
    </row>
    <row r="95" spans="2:9" x14ac:dyDescent="0.45">
      <c r="B95" s="4" t="str">
        <f>IF(AND(C81&gt;=60000,C81&lt;300000),17901.5+(C81-60000)*0.45,"")</f>
        <v/>
      </c>
      <c r="C95" s="4"/>
    </row>
    <row r="96" spans="2:9" x14ac:dyDescent="0.45">
      <c r="B96" s="4" t="str">
        <f>IF(C81&gt;300000,125901.5+(C81-300000)*0.47,"")</f>
        <v/>
      </c>
      <c r="C96" s="4"/>
    </row>
    <row r="97" spans="2:3" x14ac:dyDescent="0.45">
      <c r="B97" s="4" t="s">
        <v>248</v>
      </c>
      <c r="C97" s="33">
        <f>IF(AND(C34&gt;0,L48-C34&gt;0),C90+C82,C107)</f>
        <v>9925.8096000000005</v>
      </c>
    </row>
    <row r="98" spans="2:3" x14ac:dyDescent="0.45">
      <c r="B98" s="4" t="s">
        <v>249</v>
      </c>
      <c r="C98" s="34">
        <f>IF(AND(C34&gt;0,L48-C34&gt;0),L47+1980,L47)</f>
        <v>16100</v>
      </c>
    </row>
    <row r="99" spans="2:3" x14ac:dyDescent="0.45">
      <c r="B99" s="4" t="s">
        <v>250</v>
      </c>
      <c r="C99" s="34">
        <f>MAX(B100:B105)</f>
        <v>3241.5</v>
      </c>
    </row>
    <row r="100" spans="2:3" x14ac:dyDescent="0.45">
      <c r="B100" s="4" t="str">
        <f>IF(C98&lt;12450,0+(C98)*0.19,"")</f>
        <v/>
      </c>
      <c r="C100" s="4"/>
    </row>
    <row r="101" spans="2:3" x14ac:dyDescent="0.45">
      <c r="B101" s="4">
        <f>IF(AND(C98&gt;=12450,C98&lt;20200),2365.5+(C98-12450)*0.24,"")</f>
        <v>3241.5</v>
      </c>
      <c r="C101" s="4"/>
    </row>
    <row r="102" spans="2:3" x14ac:dyDescent="0.45">
      <c r="B102" s="4" t="str">
        <f>IF(AND(C98&gt;=20200,C98&lt;35200),4225.5+(C98-20200)*0.3,"")</f>
        <v/>
      </c>
      <c r="C102" s="4"/>
    </row>
    <row r="103" spans="2:3" x14ac:dyDescent="0.45">
      <c r="B103" s="4" t="str">
        <f>IF(AND(C98&gt;=35200,C98&lt;60000),8725.5+(C98-35200)*0.37,"")</f>
        <v/>
      </c>
      <c r="C103" s="4"/>
    </row>
    <row r="104" spans="2:3" x14ac:dyDescent="0.45">
      <c r="B104" s="4" t="str">
        <f>IF(AND(C98&gt;=60000,C98&lt;300000),17901.5+(C98-60000)*0.45,"")</f>
        <v/>
      </c>
      <c r="C104" s="4"/>
    </row>
    <row r="105" spans="2:3" x14ac:dyDescent="0.45">
      <c r="B105" s="4" t="str">
        <f>IF(C98&gt;300000,125901.5+(C98-300000)*0.47,"")</f>
        <v/>
      </c>
      <c r="C105" s="4"/>
    </row>
    <row r="106" spans="2:3" x14ac:dyDescent="0.45">
      <c r="B106" s="4" t="s">
        <v>251</v>
      </c>
      <c r="C106" s="35">
        <f>IF(C97&gt;C99,C97-C99,L59)</f>
        <v>6684.3096000000005</v>
      </c>
    </row>
    <row r="107" spans="2:3" x14ac:dyDescent="0.45">
      <c r="B107" s="4" t="s">
        <v>252</v>
      </c>
      <c r="C107" s="34">
        <f>MAX(B108:B114)</f>
        <v>9925.8096000000005</v>
      </c>
    </row>
    <row r="108" spans="2:3" x14ac:dyDescent="0.45">
      <c r="B108" s="4" t="str">
        <f>IF(L48&lt;12450,0+(L48)*0.19,"")</f>
        <v/>
      </c>
      <c r="C108" s="4"/>
    </row>
    <row r="109" spans="2:3" x14ac:dyDescent="0.45">
      <c r="B109" s="4" t="str">
        <f>IF(AND(L48&gt;=12450,L48&lt;20200),2365.5+(L48-12450)*0.24,"")</f>
        <v/>
      </c>
      <c r="C109" s="4"/>
    </row>
    <row r="110" spans="2:3" x14ac:dyDescent="0.45">
      <c r="B110" s="4" t="str">
        <f>IF(AND(L48&gt;=20200,L48&lt;35200),4225.5+(L48-20200)*0.3,"")</f>
        <v/>
      </c>
      <c r="C110" s="4"/>
    </row>
    <row r="111" spans="2:3" x14ac:dyDescent="0.45">
      <c r="B111" s="4">
        <f>IF(AND(L48&gt;=35200,L48&lt;60000),8725.5+(L48-35200)*0.37,"")</f>
        <v>9925.8096000000005</v>
      </c>
      <c r="C111" s="4"/>
    </row>
    <row r="112" spans="2:3" x14ac:dyDescent="0.45">
      <c r="B112" s="4" t="str">
        <f>IF(AND(L48&gt;=60000,L48&lt;300000),17901.5+(L48-60000)*0.45,"")</f>
        <v/>
      </c>
      <c r="C112" s="4"/>
    </row>
    <row r="113" spans="2:3" x14ac:dyDescent="0.45">
      <c r="B113" s="4" t="str">
        <f>IF(L48&gt;300000,125901.5+(L48-300000)*0.47,"")</f>
        <v/>
      </c>
      <c r="C113" s="4"/>
    </row>
    <row r="114" spans="2:3" x14ac:dyDescent="0.45">
      <c r="B114" s="4"/>
      <c r="C114" s="4"/>
    </row>
    <row r="115" spans="2:3" x14ac:dyDescent="0.45">
      <c r="B115" s="4"/>
      <c r="C115" s="4"/>
    </row>
    <row r="116" spans="2:3" x14ac:dyDescent="0.45">
      <c r="B116" s="4" t="s">
        <v>253</v>
      </c>
      <c r="C116" s="4"/>
    </row>
    <row r="117" spans="2:3" x14ac:dyDescent="0.45">
      <c r="B117" s="4" t="s">
        <v>255</v>
      </c>
      <c r="C117" s="4"/>
    </row>
    <row r="118" spans="2:3" x14ac:dyDescent="0.45">
      <c r="B118" s="4" t="s">
        <v>254</v>
      </c>
      <c r="C118" s="4"/>
    </row>
    <row r="119" spans="2:3" x14ac:dyDescent="0.45">
      <c r="B119" s="4">
        <f>IF(AND(L35&lt;=35200,C68=1,C35=1),(L35-(17270+C118+C119))*0.43,0)</f>
        <v>0</v>
      </c>
      <c r="C119" s="4"/>
    </row>
    <row r="120" spans="2:3" x14ac:dyDescent="0.45">
      <c r="B120" s="4">
        <f>IF(AND(L35&lt;=35200,C68=1,C35&gt;1),(L35-(18617+C118+C119))*0.43,0)</f>
        <v>0</v>
      </c>
      <c r="C120" s="4"/>
    </row>
    <row r="121" spans="2:3" x14ac:dyDescent="0.45">
      <c r="B121" s="4">
        <f>IF(AND(L35&lt;=35200,C68=2,C35=0),(L35-(16696+C118+C119))*0.43,0)</f>
        <v>0</v>
      </c>
      <c r="C121" s="4"/>
    </row>
    <row r="122" spans="2:3" x14ac:dyDescent="0.45">
      <c r="B122" s="4">
        <f>IF(AND(L35&lt;=35200,C68=2,C35=1),(L35-(17894+C118+C119))*0.43,0)</f>
        <v>0</v>
      </c>
      <c r="C122" s="4"/>
    </row>
    <row r="123" spans="2:3" x14ac:dyDescent="0.45">
      <c r="B123" s="4">
        <f>IF(AND(L35&lt;=35200,C68=2,C35&gt;1),(L35-(19241+C118+C119))*0.43,0)</f>
        <v>0</v>
      </c>
      <c r="C123" s="4"/>
    </row>
    <row r="124" spans="2:3" x14ac:dyDescent="0.45">
      <c r="B124" s="4">
        <f>IF(AND(L35&lt;=35200,C68=3,C35=0),(L35-(15000+C118+C119))*0.43,0)</f>
        <v>0</v>
      </c>
      <c r="C124" s="4"/>
    </row>
    <row r="125" spans="2:3" x14ac:dyDescent="0.45">
      <c r="B125" s="4">
        <f>IF(AND(L35&lt;=35200,C68=3,C35=1),(L35-(15599+C118+C119))*0.43,0)</f>
        <v>0</v>
      </c>
      <c r="C125" s="4"/>
    </row>
    <row r="126" spans="2:3" x14ac:dyDescent="0.45">
      <c r="B126" s="4">
        <f>IF(AND(L35&lt;=35200,C68=3,C35&gt;1),(L35-(16272+C118+C119))*0.43,0)</f>
        <v>0</v>
      </c>
      <c r="C126" s="4"/>
    </row>
    <row r="127" spans="2:3" x14ac:dyDescent="0.45">
      <c r="B127" s="4" t="s">
        <v>257</v>
      </c>
      <c r="C127" s="4" t="str">
        <f>IF(MAX(B119:B126)&gt;0,"Sí","No")</f>
        <v>No</v>
      </c>
    </row>
    <row r="128" spans="2:3" x14ac:dyDescent="0.45">
      <c r="B128" s="4" t="s">
        <v>258</v>
      </c>
      <c r="C128" s="4">
        <f>MAX(B119:B126)</f>
        <v>0</v>
      </c>
    </row>
    <row r="129" spans="2:3" x14ac:dyDescent="0.45">
      <c r="B129" s="4" t="s">
        <v>256</v>
      </c>
      <c r="C129" s="35">
        <f>IF(C127="No",C106,IF(C106&gt;C128,C128,C106))</f>
        <v>6684.3096000000005</v>
      </c>
    </row>
    <row r="130" spans="2:3" x14ac:dyDescent="0.45">
      <c r="B130" s="4"/>
      <c r="C130" s="4"/>
    </row>
    <row r="131" spans="2:3" x14ac:dyDescent="0.45">
      <c r="B131" s="4"/>
      <c r="C131" s="4"/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</sheetData>
  <sheetProtection algorithmName="SHA-512" hashValue="wiTS5QmdNcHe/QNlIoDp4NEEFiY3eKfJmumgYMklKYwo9z2TnMxT+pgkeHpYdsSjEzZcX2G+IcI9AJYN8HFKLw==" saltValue="Yp+zHE+2tqplMB/HdrydvQ==" spinCount="100000" sheet="1" objects="1" scenarios="1"/>
  <mergeCells count="13">
    <mergeCell ref="J2:K2"/>
    <mergeCell ref="M4:M5"/>
    <mergeCell ref="B28:C28"/>
    <mergeCell ref="B69:C69"/>
    <mergeCell ref="B3:C3"/>
    <mergeCell ref="J3:K3"/>
    <mergeCell ref="J4:K5"/>
    <mergeCell ref="L4:L5"/>
    <mergeCell ref="B31:C31"/>
    <mergeCell ref="B41:B43"/>
    <mergeCell ref="C41:C43"/>
    <mergeCell ref="B44:B46"/>
    <mergeCell ref="C44:C46"/>
  </mergeCells>
  <dataValidations count="18">
    <dataValidation type="list" allowBlank="1" showInputMessage="1" showErrorMessage="1" sqref="C11" xr:uid="{00000000-0002-0000-0200-000000000000}">
      <formula1>$D$5:$D$6</formula1>
    </dataValidation>
    <dataValidation type="whole" allowBlank="1" showInputMessage="1" showErrorMessage="1" sqref="C6:C10" xr:uid="{00000000-0002-0000-0200-000001000000}">
      <formula1>0</formula1>
      <formula2>14</formula2>
    </dataValidation>
    <dataValidation type="whole" allowBlank="1" showInputMessage="1" showErrorMessage="1" sqref="C12" xr:uid="{00000000-0002-0000-0200-000002000000}">
      <formula1>0</formula1>
      <formula2>5</formula2>
    </dataValidation>
    <dataValidation type="decimal" allowBlank="1" showInputMessage="1" showErrorMessage="1" sqref="C4:C5" xr:uid="{00000000-0002-0000-0200-000003000000}">
      <formula1>0</formula1>
      <formula2>100</formula2>
    </dataValidation>
    <dataValidation type="list" allowBlank="1" showInputMessage="1" showErrorMessage="1" sqref="C13" xr:uid="{00000000-0002-0000-0200-000004000000}">
      <formula1>$D$13:$D$20</formula1>
    </dataValidation>
    <dataValidation type="list" allowBlank="1" showInputMessage="1" showErrorMessage="1" sqref="C14" xr:uid="{00000000-0002-0000-0200-000005000000}">
      <formula1>$F$13:$F$18</formula1>
    </dataValidation>
    <dataValidation type="list" allowBlank="1" showInputMessage="1" showErrorMessage="1" sqref="C26 C47 C61 C56 C15:C24 C51 C39 C37 C32 C66" xr:uid="{00000000-0002-0000-0200-000006000000}">
      <formula1>$H$13:$H$14</formula1>
    </dataValidation>
    <dataValidation type="whole" allowBlank="1" showInputMessage="1" showErrorMessage="1" sqref="C25" xr:uid="{00000000-0002-0000-0200-000007000000}">
      <formula1>0</formula1>
      <formula2>30</formula2>
    </dataValidation>
    <dataValidation type="whole" allowBlank="1" showInputMessage="1" showErrorMessage="1" sqref="C27" xr:uid="{00000000-0002-0000-0200-000008000000}">
      <formula1>0</formula1>
      <formula2>10000</formula2>
    </dataValidation>
    <dataValidation type="list" allowBlank="1" showInputMessage="1" showErrorMessage="1" sqref="C29" xr:uid="{00000000-0002-0000-0200-00000A000000}">
      <formula1>$A$35:$A$37</formula1>
    </dataValidation>
    <dataValidation type="whole" allowBlank="1" showInputMessage="1" showErrorMessage="1" sqref="C35" xr:uid="{00000000-0002-0000-0200-00000B000000}">
      <formula1>0</formula1>
      <formula2>100</formula2>
    </dataValidation>
    <dataValidation type="whole" allowBlank="1" showInputMessage="1" showErrorMessage="1" sqref="C36 C40:C41" xr:uid="{00000000-0002-0000-0200-00000C000000}">
      <formula1>0</formula1>
      <formula2>C35</formula2>
    </dataValidation>
    <dataValidation type="whole" allowBlank="1" showInputMessage="1" showErrorMessage="1" sqref="C49 C59 C54 C64" xr:uid="{00000000-0002-0000-0200-00000D000000}">
      <formula1>18</formula1>
      <formula2>130</formula2>
    </dataValidation>
    <dataValidation type="whole" allowBlank="1" showInputMessage="1" showErrorMessage="1" sqref="C52 C62 C57 C67" xr:uid="{00000000-0002-0000-0200-00000E000000}">
      <formula1>0</formula1>
      <formula2>20</formula2>
    </dataValidation>
    <dataValidation type="whole" allowBlank="1" showInputMessage="1" showErrorMessage="1" sqref="C44" xr:uid="{00000000-0002-0000-0200-00000F000000}">
      <formula1>0</formula1>
      <formula2>C40</formula2>
    </dataValidation>
    <dataValidation type="list" allowBlank="1" showInputMessage="1" showErrorMessage="1" sqref="C38 C55 C50 C60 C65" xr:uid="{00000000-0002-0000-0200-000010000000}">
      <formula1>$A$38:$A$42</formula1>
    </dataValidation>
    <dataValidation type="list" allowBlank="1" showInputMessage="1" showErrorMessage="1" sqref="B69" xr:uid="{00000000-0002-0000-0200-000011000000}">
      <formula1>$A$68:$A$70</formula1>
    </dataValidation>
    <dataValidation type="whole" allowBlank="1" showInputMessage="1" showErrorMessage="1" sqref="C30" xr:uid="{57B0B9CF-F6AE-4042-BF06-DEFE06B1353E}">
      <formula1>1980</formula1>
      <formula2>2024</formula2>
    </dataValidation>
  </dataValidations>
  <hyperlinks>
    <hyperlink ref="B2" location="Inicio!A1" display="Ir a inicio" xr:uid="{00000000-0004-0000-02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37"/>
  <sheetViews>
    <sheetView showRowColHeaders="0" topLeftCell="A13" zoomScaleNormal="100" workbookViewId="0">
      <selection activeCell="L38" sqref="L38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L4-SUM(L27:L31)</f>
        <v>2373.5854075363804</v>
      </c>
      <c r="M3" s="73">
        <f>M4-SUM(M27:M31)</f>
        <v>2140.0492804550504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SUM(L6:L25)</f>
        <v>3023.81</v>
      </c>
      <c r="M4" s="157">
        <f>SUM(M6:M25)</f>
        <v>2492.62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ROUND((C4/100)*Datos!E4,2)</f>
        <v>1387.24</v>
      </c>
      <c r="M6" s="52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ROUND(($C$4/100)*Datos!E9,2)</f>
        <v>729.14</v>
      </c>
      <c r="M7" s="53">
        <f>L7</f>
        <v>729.14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ROUND(($C$4/100)*Datos!E13,2)</f>
        <v>907.43</v>
      </c>
      <c r="M8" s="53">
        <f>L8</f>
        <v>907.43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75" customHeight="1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75" customHeight="1" thickBot="1" x14ac:dyDescent="0.5">
      <c r="A11" s="4"/>
      <c r="B11" s="105" t="s">
        <v>278</v>
      </c>
      <c r="C11" s="69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IF(C13=D14,ROUND(C4*MAX(E27:E32,G27:G32)/100,2),0)</f>
        <v>0</v>
      </c>
      <c r="M11" s="53">
        <f t="shared" ref="M11:M25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75" customHeight="1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IF(C13=D16,ROUND(C4*MAX(F27:F31,H27:H31)/100,2),0)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75" customHeight="1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IF(C13=D15,ROUND(C4*MAX(F27:F31,H27:H31)/100,2),0)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75" customHeight="1" thickBot="1" x14ac:dyDescent="0.5">
      <c r="A14" s="4"/>
      <c r="B14" s="129" t="s">
        <v>124</v>
      </c>
      <c r="C14" s="18"/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IF(C13=D17,ROUND(Datos!E77*'Profesores Conservatorios'!C4/100,2),0)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75" customHeight="1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">
        <v>48</v>
      </c>
      <c r="K15" s="61"/>
      <c r="L15" s="53">
        <f>IF(C15="Sí",ROUND(Datos!E91*'Profesores Conservatorios'!C4/100,2),0)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75" customHeight="1" x14ac:dyDescent="0.45">
      <c r="A16" s="4"/>
      <c r="B16" s="105" t="s">
        <v>45</v>
      </c>
      <c r="C16" s="106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">
        <v>273</v>
      </c>
      <c r="K16" s="62"/>
      <c r="L16" s="53">
        <f>IF(D21&gt;0,ROUND(C4*MAX(E27:E33,G27:G33)*D21/100,2),0)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75" hidden="1" customHeight="1" thickBot="1" x14ac:dyDescent="0.5">
      <c r="A17" s="4"/>
      <c r="B17" s="3" t="s">
        <v>46</v>
      </c>
      <c r="C17" s="90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/>
      <c r="K17" s="61"/>
      <c r="L17" s="53"/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75" hidden="1" customHeight="1" thickBot="1" x14ac:dyDescent="0.5">
      <c r="A18" s="4"/>
      <c r="B18" s="3" t="s">
        <v>99</v>
      </c>
      <c r="C18" s="90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/>
      <c r="K18" s="61"/>
      <c r="L18" s="53"/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75" hidden="1" customHeight="1" thickBot="1" x14ac:dyDescent="0.5">
      <c r="A19" s="4"/>
      <c r="B19" s="3" t="s">
        <v>97</v>
      </c>
      <c r="C19" s="90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/>
      <c r="K19" s="61"/>
      <c r="L19" s="53"/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75" hidden="1" customHeight="1" thickBot="1" x14ac:dyDescent="0.5">
      <c r="A20" s="4"/>
      <c r="B20" s="3" t="s">
        <v>98</v>
      </c>
      <c r="C20" s="90" t="s">
        <v>138</v>
      </c>
      <c r="D20" s="4" t="s">
        <v>277</v>
      </c>
      <c r="E20" s="4"/>
      <c r="F20" s="4"/>
      <c r="G20" s="4"/>
      <c r="H20" s="4"/>
      <c r="I20" s="4"/>
      <c r="K20" s="61"/>
      <c r="L20" s="53">
        <f>IF(C15="Sí",ROUND(Datos!E91*'Profesores Conservatorios'!C4/100,2),0)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75" hidden="1" customHeight="1" thickBot="1" x14ac:dyDescent="0.5">
      <c r="A21" s="4"/>
      <c r="B21" s="3" t="s">
        <v>49</v>
      </c>
      <c r="C21" s="90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IF(C22="Sí",ROUND(Datos!E97*'Profesores Conservatorios'!C4/100,2),0)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75" hidden="1" customHeight="1" x14ac:dyDescent="0.45">
      <c r="A22" s="4"/>
      <c r="B22" s="3" t="s">
        <v>269</v>
      </c>
      <c r="C22" s="90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IF(C23="Sí",ROUND(C4*SUM(D23:D25)/100,2),0)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75" hidden="1" customHeight="1" x14ac:dyDescent="0.45">
      <c r="A23" s="4"/>
      <c r="B23" s="105" t="s">
        <v>144</v>
      </c>
      <c r="C23" s="106" t="s">
        <v>138</v>
      </c>
      <c r="D23" s="4">
        <f>IF(C23="No",0,Datos!E102)</f>
        <v>0</v>
      </c>
      <c r="E23" s="4"/>
      <c r="F23" s="4"/>
      <c r="G23" s="4"/>
      <c r="H23" s="4"/>
      <c r="I23" s="4"/>
      <c r="J23" s="36" t="s">
        <v>153</v>
      </c>
      <c r="K23" s="61"/>
      <c r="L23" s="53">
        <f>IF(C26="Sí",ROUND(C4*MIN(D27:D36)/100,2),0)</f>
        <v>0</v>
      </c>
      <c r="M23" s="53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75" hidden="1" customHeight="1" x14ac:dyDescent="0.45">
      <c r="A24" s="4"/>
      <c r="B24" s="107" t="s">
        <v>142</v>
      </c>
      <c r="C24" s="106" t="s">
        <v>138</v>
      </c>
      <c r="D24" s="4">
        <f>IF(AND(C23="Sí",C24="Sí"),Datos!E103,0)</f>
        <v>0</v>
      </c>
      <c r="E24" s="4"/>
      <c r="F24" s="4"/>
      <c r="G24" s="4"/>
      <c r="H24" s="4"/>
      <c r="I24" s="4"/>
      <c r="L24" s="53">
        <f>IF(D21&gt;0,ROUND(C4*MAX(E27:E33,G27:G33)*D21/100,2),0)</f>
        <v>0</v>
      </c>
      <c r="M24" s="53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75" hidden="1" customHeight="1" thickBot="1" x14ac:dyDescent="0.5">
      <c r="A25" s="4"/>
      <c r="B25" s="107" t="s">
        <v>143</v>
      </c>
      <c r="C25" s="106">
        <v>0</v>
      </c>
      <c r="D25" s="4">
        <f>IF(C23="Sí",C25*Datos!E104,0)</f>
        <v>0</v>
      </c>
      <c r="E25" s="4"/>
      <c r="F25" s="4"/>
      <c r="G25" s="4"/>
      <c r="H25" s="4"/>
      <c r="I25" s="4"/>
      <c r="J25" s="54" t="s">
        <v>283</v>
      </c>
      <c r="K25" s="63"/>
      <c r="L25" s="55">
        <f>IF(C21="Sí",ROUND(Datos!E92*C4/100,2),0)</f>
        <v>0</v>
      </c>
      <c r="M25" s="55">
        <f t="shared" si="1"/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75" customHeight="1" x14ac:dyDescent="0.45">
      <c r="A26" s="4"/>
      <c r="B26" s="105" t="s">
        <v>145</v>
      </c>
      <c r="C26" s="106" t="s">
        <v>138</v>
      </c>
      <c r="D26" s="4"/>
      <c r="E26" s="4" t="s">
        <v>125</v>
      </c>
      <c r="F26" s="4" t="s">
        <v>154</v>
      </c>
      <c r="G26" s="4" t="s">
        <v>280</v>
      </c>
      <c r="H26" s="4" t="s">
        <v>281</v>
      </c>
      <c r="I26" s="4"/>
      <c r="J26" s="57" t="s">
        <v>162</v>
      </c>
      <c r="K26" s="58"/>
      <c r="L26" s="59"/>
      <c r="M26" s="58"/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4.75" customHeight="1" x14ac:dyDescent="0.45">
      <c r="A27" s="4"/>
      <c r="B27" s="107" t="s">
        <v>146</v>
      </c>
      <c r="C27" s="106">
        <v>0</v>
      </c>
      <c r="D27" s="4">
        <f>IF($C$27&lt;=50,Datos!E107,"")</f>
        <v>17.649999999999999</v>
      </c>
      <c r="E27" s="4" t="str">
        <f>IF(AND(C11=D5,$D12=$D$14,$C$14=F13),Datos!E64,"")</f>
        <v/>
      </c>
      <c r="F27" s="4" t="str">
        <f>IF(AND(OR($C$13=$D$15,$C$13=$D$16),$C$14=F13,C11=D5),Datos!E68,"")</f>
        <v/>
      </c>
      <c r="G27" s="4" t="str">
        <f>IF(AND(C11=D6,$D12=$D$14,$C$14=F13),Datos!E32,"")</f>
        <v/>
      </c>
      <c r="H27" s="4" t="str">
        <f>IF(AND(OR($C$13=$D$15,$C$13=$D$16),$C$14=F13,C11=D6),Datos!E38,"")</f>
        <v/>
      </c>
      <c r="I27" s="4"/>
      <c r="J27" s="7" t="s">
        <v>231</v>
      </c>
      <c r="K27" s="40"/>
      <c r="L27" s="20">
        <f>IF(OR(C29="Funcionario/a de carrera",C29="Funcionario/a en prácticas"),51.68,0)</f>
        <v>0</v>
      </c>
      <c r="M27" s="49">
        <f>L27</f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59" t="s">
        <v>233</v>
      </c>
      <c r="C28" s="160"/>
      <c r="D28" s="4">
        <f>IF($C$27&lt;=100,Datos!E108,"")</f>
        <v>35.32</v>
      </c>
      <c r="E28" s="4" t="str">
        <f>IF(AND(C11=D5,$D$12=$D$14,$C$14=F14),Datos!E65,"")</f>
        <v/>
      </c>
      <c r="F28" s="4" t="str">
        <f>IF(AND(OR($C$13=$D$15,$C$13=$D$16),$C$14=F14,C11=D5),Datos!E69,"")</f>
        <v/>
      </c>
      <c r="G28" s="4" t="str">
        <f>IF(AND(C11=D6,$D12=$D$14,$C$14=F14),Datos!E33,"")</f>
        <v/>
      </c>
      <c r="H28" s="4" t="str">
        <f>IF(AND(OR($C$13=$D$15,$C$13=$D$16),$C$14=F14,C11=D6),Datos!E39,"")</f>
        <v/>
      </c>
      <c r="I28" s="4"/>
      <c r="J28" s="7" t="s">
        <v>232</v>
      </c>
      <c r="K28" s="40"/>
      <c r="L28" s="20">
        <f>IF(AND(L27&gt;0,C30&lt;2011,C30&gt;0),118.04,0)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29" t="s">
        <v>158</v>
      </c>
      <c r="C29" s="18" t="s">
        <v>161</v>
      </c>
      <c r="D29" s="4">
        <f>IF($C$27&lt;=150,Datos!E109,"")</f>
        <v>52.97</v>
      </c>
      <c r="E29" s="4" t="str">
        <f>IF(AND(C11=D5,$D$12=$D$14,$C$14=F15),Datos!E66,"")</f>
        <v/>
      </c>
      <c r="F29" s="4" t="str">
        <f>IF(AND(OR($C$13=$D$15,$C$13=$D$16),$C$14=F15,C11=D5),Datos!E70,"")</f>
        <v/>
      </c>
      <c r="G29" s="4" t="str">
        <f>IF(AND(C11=D6,$D12=$D$14,$C$14=F15),Datos!E34,"")</f>
        <v/>
      </c>
      <c r="H29" s="4" t="str">
        <f>IF(AND(OR($C$13=$D$15,$C$13=$D$16),$C$14=F15,C11=D6),Datos!E40,"")</f>
        <v/>
      </c>
      <c r="I29" s="4"/>
      <c r="J29" s="7" t="s">
        <v>163</v>
      </c>
      <c r="K29" s="40"/>
      <c r="L29" s="20">
        <f>IF(OR(C29=A36,AND(C29=A35,C30&gt;=2011)),(L4+(M4/6))*L68,0)</f>
        <v>0</v>
      </c>
      <c r="M29" s="9">
        <v>0</v>
      </c>
      <c r="P29" s="4"/>
      <c r="Q29" s="4"/>
      <c r="R29" s="4"/>
      <c r="S29" s="4"/>
      <c r="T29" s="4"/>
      <c r="U29" s="4"/>
      <c r="V29" s="4"/>
      <c r="W29" s="4"/>
    </row>
    <row r="30" spans="1:29" ht="14.65" thickBot="1" x14ac:dyDescent="0.5">
      <c r="A30" s="4"/>
      <c r="B30" s="129" t="str">
        <f>IF(C29=A35,"¿En qué año aprobaste la oposición?","")</f>
        <v/>
      </c>
      <c r="C30" s="18"/>
      <c r="D30" s="4">
        <f>IF($C$27&lt;=200,Datos!E110,"")</f>
        <v>70.64</v>
      </c>
      <c r="E30" s="4" t="str">
        <f>IF(AND(C11=D5,$D$12=$D$14,$C$14=F16),Datos!E67,"")</f>
        <v/>
      </c>
      <c r="F30" s="4" t="str">
        <f>IF(AND(OR($C$13=$D$15,$C$13=$D$16),$C$14=F16,C11=D5),Datos!E71,"")</f>
        <v/>
      </c>
      <c r="G30" s="4" t="str">
        <f>IF(AND(C11=D6,$D12=$D$14,$C$14=F13),Datos!E35,"")</f>
        <v/>
      </c>
      <c r="H30" s="4" t="str">
        <f>IF(AND(OR($C$13=$D$15,$C$13=$D$16),$C$14=F16,C11=D6),Datos!E41,"")</f>
        <v/>
      </c>
      <c r="I30" s="4"/>
      <c r="J30" s="7" t="s">
        <v>164</v>
      </c>
      <c r="K30" s="40"/>
      <c r="L30" s="46">
        <f>IF(C29=A37,L4*0.0647+M4*0.0647/6,0)</f>
        <v>222.51925933333331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71" t="s">
        <v>169</v>
      </c>
      <c r="C31" s="172"/>
      <c r="D31" s="4">
        <f>IF($C$27&lt;=250,Datos!E111,"")</f>
        <v>88.29</v>
      </c>
      <c r="E31" s="4" t="str">
        <f>IF(AND($C$13=$D$14,$C$15&lt;&gt;"",$C$15&lt;&gt;$G$13,$C$14=F17),Datos!E36,"")</f>
        <v/>
      </c>
      <c r="F31" s="4"/>
      <c r="G31" s="4" t="str">
        <f>IF(AND(C11=D6,$D12=$D$14,$C$14=F16),Datos!E36,"")</f>
        <v/>
      </c>
      <c r="H31" s="4" t="str">
        <f>IF(AND(OR($C$13=$D$15,$C$13=$D$16),$C$14=F17,C11=D6),Datos!E42,"")</f>
        <v/>
      </c>
      <c r="I31" s="4"/>
      <c r="J31" s="14" t="s">
        <v>165</v>
      </c>
      <c r="K31" s="48">
        <f>L61</f>
        <v>0.14144583592563226</v>
      </c>
      <c r="L31" s="47">
        <f>L4*K31</f>
        <v>427.70533313028608</v>
      </c>
      <c r="M31" s="50">
        <f>M4*K31</f>
        <v>352.57071954494944</v>
      </c>
      <c r="O31" s="4"/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29" t="s">
        <v>171</v>
      </c>
      <c r="C32" s="18" t="s">
        <v>138</v>
      </c>
      <c r="D32" s="4">
        <f>IF($C$27&lt;=300,Datos!E112,"")</f>
        <v>105.96</v>
      </c>
      <c r="E32" s="4" t="str">
        <f>IF(AND($C$13=$D$14,$C$15&lt;&gt;"",$C$15&lt;&gt;$G$13,$C$14=F18),Datos!E37,"")</f>
        <v/>
      </c>
      <c r="F32" s="4"/>
      <c r="G32" s="4" t="str">
        <f>IF(AND(C11=D6,$D12=$D$14,$C$14=F17),Datos!E37,"")</f>
        <v/>
      </c>
      <c r="H32" s="4"/>
      <c r="I32" s="4"/>
      <c r="O32" s="4" t="s">
        <v>176</v>
      </c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191</v>
      </c>
      <c r="C33" s="116">
        <v>0</v>
      </c>
      <c r="D33" s="4">
        <f>IF($C$27&lt;=350,Datos!E113,"")</f>
        <v>123.62</v>
      </c>
      <c r="E33" s="4"/>
      <c r="F33" s="4" t="str">
        <f>IF(AND(OR($C$13=$D$15,$C$13=$D$16),$C$15&lt;&gt;"",$C$15&lt;&gt;$G$13,$C$14=F19),Datos!E44,"")</f>
        <v/>
      </c>
      <c r="G33" s="4" t="str">
        <f>IF(AND(C11=D6,$D12=$D$14,$C$14=F18),Datos!E38,"")</f>
        <v/>
      </c>
      <c r="H33" s="4"/>
      <c r="I33" s="4"/>
      <c r="O33" s="4" t="s">
        <v>177</v>
      </c>
      <c r="P33" s="4">
        <v>2400</v>
      </c>
      <c r="Q33" s="4">
        <v>2400</v>
      </c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190</v>
      </c>
      <c r="C34" s="116">
        <v>0</v>
      </c>
      <c r="D34" s="4">
        <f>IF($C$27&lt;=450,Datos!E114,"")</f>
        <v>141.27000000000001</v>
      </c>
      <c r="E34" s="4"/>
      <c r="F34" s="4"/>
      <c r="G34" s="4"/>
      <c r="H34" s="4"/>
      <c r="I34" s="4"/>
      <c r="J34" s="74" t="s">
        <v>167</v>
      </c>
      <c r="K34" s="75"/>
      <c r="L34" s="76"/>
      <c r="O34" s="4" t="s">
        <v>178</v>
      </c>
      <c r="P34" s="4">
        <v>2700</v>
      </c>
      <c r="Q34" s="4">
        <f>Q33+P34</f>
        <v>5100</v>
      </c>
      <c r="R34" s="4"/>
      <c r="S34" s="4"/>
      <c r="T34" s="4"/>
      <c r="U34" s="4"/>
      <c r="V34" s="4"/>
      <c r="W34" s="4"/>
    </row>
    <row r="35" spans="1:23" ht="14.65" thickBot="1" x14ac:dyDescent="0.5">
      <c r="A35" s="4" t="s">
        <v>159</v>
      </c>
      <c r="B35" s="41" t="s">
        <v>174</v>
      </c>
      <c r="C35" s="18">
        <v>3</v>
      </c>
      <c r="D35" s="4">
        <f>IF($C$27&lt;=450,Datos!E115,"")</f>
        <v>158.94</v>
      </c>
      <c r="E35" s="4"/>
      <c r="F35" s="4"/>
      <c r="G35" s="4"/>
      <c r="H35" s="4"/>
      <c r="I35" s="4"/>
      <c r="J35" s="36" t="s">
        <v>168</v>
      </c>
      <c r="K35" s="37"/>
      <c r="L35" s="70">
        <f>L4*12+M4*2</f>
        <v>41270.959999999999</v>
      </c>
      <c r="O35" s="4" t="s">
        <v>179</v>
      </c>
      <c r="P35" s="4">
        <v>4000</v>
      </c>
      <c r="Q35" s="4">
        <f>Q34+P35</f>
        <v>9100</v>
      </c>
      <c r="R35" s="4"/>
      <c r="S35" s="4"/>
      <c r="T35" s="4"/>
      <c r="U35" s="4"/>
      <c r="V35" s="4"/>
      <c r="W35" s="4"/>
    </row>
    <row r="36" spans="1:23" ht="14.75" customHeight="1" thickBot="1" x14ac:dyDescent="0.5">
      <c r="A36" s="4" t="s">
        <v>160</v>
      </c>
      <c r="B36" s="129" t="s">
        <v>173</v>
      </c>
      <c r="C36" s="18">
        <v>0</v>
      </c>
      <c r="D36" s="4">
        <f>IF($C$27&lt;=1000050,Datos!E116,"")</f>
        <v>176.59</v>
      </c>
      <c r="E36" s="4"/>
      <c r="F36" s="4"/>
      <c r="G36" s="4"/>
      <c r="H36" s="4"/>
      <c r="I36" s="4"/>
      <c r="J36" s="7" t="s">
        <v>259</v>
      </c>
      <c r="K36" s="8"/>
      <c r="L36" s="9">
        <f>IF(AND(C47="Sí",L35&lt;33007.2),TRUNC(L35*0.02),0)</f>
        <v>0</v>
      </c>
      <c r="M36" s="22"/>
      <c r="N36" s="22"/>
      <c r="O36" s="4" t="s">
        <v>180</v>
      </c>
      <c r="P36" s="4">
        <v>4500</v>
      </c>
      <c r="Q36" s="4"/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161</v>
      </c>
      <c r="B37" s="131" t="s">
        <v>196</v>
      </c>
      <c r="C37" s="18" t="s">
        <v>138</v>
      </c>
      <c r="D37" s="4" t="str">
        <f>IF(B69=A68,"Sí","No")</f>
        <v>Sí</v>
      </c>
      <c r="E37" s="4"/>
      <c r="F37" s="4"/>
      <c r="G37" s="4"/>
      <c r="H37" s="4"/>
      <c r="I37" s="4"/>
      <c r="J37" s="7" t="s">
        <v>265</v>
      </c>
      <c r="K37" s="8"/>
      <c r="L37" s="9">
        <f>IF(L35-L38&lt;14582,7302,IF(L35-L38&lt;17673.52,7302-(1.75*(L35-L38-14852)),IF(L35-L38&lt;19747.5,2364.34-(1.14*(L35-L38-17673.52)),0)))</f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182</v>
      </c>
      <c r="B38" s="129" t="s">
        <v>181</v>
      </c>
      <c r="C38" s="18" t="s">
        <v>182</v>
      </c>
      <c r="D38" s="4"/>
      <c r="E38" s="4"/>
      <c r="F38" s="4"/>
      <c r="G38" s="4"/>
      <c r="H38" s="4"/>
      <c r="I38" s="4"/>
      <c r="J38" s="36" t="s">
        <v>236</v>
      </c>
      <c r="K38" s="37"/>
      <c r="L38" s="70">
        <f>SUM(L27:L30)*14+SUM(M27:M30)*2</f>
        <v>3115.2696306666662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184</v>
      </c>
      <c r="B39" s="131" t="s">
        <v>189</v>
      </c>
      <c r="C39" s="18" t="s">
        <v>138</v>
      </c>
      <c r="D39" s="4"/>
      <c r="E39" s="4"/>
      <c r="F39" s="4"/>
      <c r="G39" s="4"/>
      <c r="H39" s="4"/>
      <c r="I39" s="4"/>
      <c r="J39" s="36" t="s">
        <v>241</v>
      </c>
      <c r="K39" s="37"/>
      <c r="L39" s="70">
        <f>C33+2000+M40</f>
        <v>2000</v>
      </c>
      <c r="M39" s="4"/>
      <c r="N39" s="4"/>
      <c r="O39" s="22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183</v>
      </c>
      <c r="B40" s="129" t="s">
        <v>192</v>
      </c>
      <c r="C40" s="18">
        <v>1</v>
      </c>
      <c r="D40" s="4"/>
      <c r="E40" s="4"/>
      <c r="F40" s="4"/>
      <c r="G40" s="4"/>
      <c r="H40" s="4"/>
      <c r="I40" s="4"/>
      <c r="J40" s="36" t="s">
        <v>170</v>
      </c>
      <c r="K40" s="37"/>
      <c r="L40" s="70">
        <f>IF(C32="Sí",1150+5550,5550)</f>
        <v>5550</v>
      </c>
      <c r="M40" s="4">
        <f>IF(AND(C38=A41,C39="No"),3500,IF(OR(C38=A40,C38=A41),7750,0))</f>
        <v>0</v>
      </c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x14ac:dyDescent="0.45">
      <c r="A41" s="4" t="s">
        <v>185</v>
      </c>
      <c r="B41" s="173" t="s">
        <v>207</v>
      </c>
      <c r="C41" s="175">
        <v>0</v>
      </c>
      <c r="D41" s="4"/>
      <c r="E41" s="4"/>
      <c r="F41" s="4"/>
      <c r="G41" s="4"/>
      <c r="H41" s="4"/>
      <c r="I41" s="4"/>
      <c r="J41" s="36" t="s">
        <v>172</v>
      </c>
      <c r="K41" s="37"/>
      <c r="L41" s="70">
        <f>SUM(C70:C73)</f>
        <v>0</v>
      </c>
      <c r="M41" s="4"/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/>
      <c r="B42" s="173"/>
      <c r="C42" s="176"/>
      <c r="D42" s="4"/>
      <c r="E42" s="4"/>
      <c r="F42" s="4"/>
      <c r="G42" s="4"/>
      <c r="H42" s="4"/>
      <c r="I42" s="4"/>
      <c r="J42" s="36" t="s">
        <v>175</v>
      </c>
      <c r="K42" s="37"/>
      <c r="L42" s="70">
        <f>IF(C37="no",M48/2+1400*C36,M48+2800*C36)</f>
        <v>4550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thickBot="1" x14ac:dyDescent="0.5">
      <c r="A43" s="4"/>
      <c r="B43" s="174"/>
      <c r="C43" s="177"/>
      <c r="D43" s="4"/>
      <c r="E43" s="4"/>
      <c r="F43" s="4"/>
      <c r="G43" s="4"/>
      <c r="H43" s="4"/>
      <c r="I43" s="4"/>
      <c r="J43" s="36" t="s">
        <v>186</v>
      </c>
      <c r="K43" s="37"/>
      <c r="L43" s="70">
        <f>IF(C38=A40,9000,IF(C38=A41,3000,0))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x14ac:dyDescent="0.45">
      <c r="A44" s="4"/>
      <c r="B44" s="178" t="s">
        <v>207</v>
      </c>
      <c r="C44" s="175">
        <v>0</v>
      </c>
      <c r="D44" s="4"/>
      <c r="E44" s="4"/>
      <c r="F44" s="4"/>
      <c r="G44" s="4"/>
      <c r="H44" s="4"/>
      <c r="I44" s="4"/>
      <c r="J44" s="36" t="s">
        <v>187</v>
      </c>
      <c r="K44" s="37"/>
      <c r="L44" s="70">
        <f>SUM(C74:C77)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3"/>
      <c r="C45" s="176"/>
      <c r="D45" s="4"/>
      <c r="E45" s="4"/>
      <c r="F45" s="4"/>
      <c r="G45" s="4"/>
      <c r="H45" s="4"/>
      <c r="I45" s="4"/>
      <c r="J45" s="36" t="s">
        <v>188</v>
      </c>
      <c r="K45" s="37"/>
      <c r="L45" s="70">
        <f>IF(C37="Sí",M50,M50/2)</f>
        <v>6000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thickBot="1" x14ac:dyDescent="0.5">
      <c r="A46" s="4"/>
      <c r="B46" s="174"/>
      <c r="C46" s="177"/>
      <c r="D46" s="4"/>
      <c r="E46" s="4"/>
      <c r="F46" s="4"/>
      <c r="G46" s="4"/>
      <c r="H46" s="4"/>
      <c r="I46" s="4"/>
      <c r="J46" s="36" t="s">
        <v>206</v>
      </c>
      <c r="K46" s="37"/>
      <c r="L46" s="70">
        <f>IF(OR(C39="Sí",C38=A40),3000,0)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22"/>
      <c r="B47" s="129" t="s">
        <v>267</v>
      </c>
      <c r="C47" s="18" t="s">
        <v>138</v>
      </c>
      <c r="D47" s="4"/>
      <c r="E47" s="4"/>
      <c r="F47" s="4"/>
      <c r="G47" s="4"/>
      <c r="H47" s="4"/>
      <c r="I47" s="4"/>
      <c r="J47" s="7" t="s">
        <v>208</v>
      </c>
      <c r="K47" s="8"/>
      <c r="L47" s="9">
        <f>SUM(L40:L46)</f>
        <v>16100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260</v>
      </c>
      <c r="C48" s="117"/>
      <c r="D48" s="4"/>
      <c r="E48" s="4"/>
      <c r="F48" s="4"/>
      <c r="G48" s="4"/>
      <c r="H48" s="4"/>
      <c r="I48" s="4"/>
      <c r="J48" s="7" t="s">
        <v>209</v>
      </c>
      <c r="K48" s="8"/>
      <c r="L48" s="9">
        <f>MAX(0,L35-L38-L39-L37)</f>
        <v>36155.69036933333</v>
      </c>
      <c r="M48" s="4">
        <f>IF(C35=1,Q33,IF(C35=2,Q34,IF(C35=3,Q35,IF(C35&lt;1,0,Q35+4500*(C35-3)))))</f>
        <v>9100</v>
      </c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25" t="s">
        <v>193</v>
      </c>
      <c r="C49" s="109"/>
      <c r="D49" s="4"/>
      <c r="E49" s="4"/>
      <c r="F49" s="4"/>
      <c r="G49" s="4"/>
      <c r="H49" s="4"/>
      <c r="I49" s="4"/>
      <c r="J49" s="7" t="s">
        <v>210</v>
      </c>
      <c r="K49" s="8"/>
      <c r="L49" s="9">
        <f>IF(L47&gt;12450,0,MAX(0,MIN(12450,L48)-L47))</f>
        <v>0</v>
      </c>
      <c r="M49" s="4"/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194</v>
      </c>
      <c r="C50" s="109" t="s">
        <v>182</v>
      </c>
      <c r="D50" s="4"/>
      <c r="E50" s="4"/>
      <c r="F50" s="4"/>
      <c r="G50" s="4"/>
      <c r="H50" s="4"/>
      <c r="I50" s="4"/>
      <c r="J50" s="7" t="s">
        <v>211</v>
      </c>
      <c r="K50" s="8"/>
      <c r="L50" s="9">
        <f>IF(IF(L47&gt;20200,0,IF(L48&gt;20200,MIN(20200-L47,20200-12450),MIN(L48-L47,L48-12450)))&lt;0,0,IF(L47&gt;20200,0,IF(L48&gt;20200,MIN(20200-L47,20200-12450),MIN(L48-L47,L48-12450))))</f>
        <v>4100</v>
      </c>
      <c r="M50" s="4">
        <f>C40*12000+C41*6000+C44*3000</f>
        <v>12000</v>
      </c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201</v>
      </c>
      <c r="C51" s="18" t="s">
        <v>138</v>
      </c>
      <c r="D51" s="4"/>
      <c r="E51" s="4"/>
      <c r="F51" s="4"/>
      <c r="G51" s="4"/>
      <c r="H51" s="4"/>
      <c r="I51" s="4"/>
      <c r="J51" s="7" t="s">
        <v>212</v>
      </c>
      <c r="K51" s="8"/>
      <c r="L51" s="9">
        <f>IF(IF(L47&gt;35200,0,IF(L48&gt;35200,MIN(35200-L47,35200-20200),MIN(L48-L47,L48-20200)))&lt;0,0,IF(L47&gt;35200,0,IF(L48&gt;35200,MIN(35200-L47,35200-20200),MIN(L48-L47,L48-20200))))</f>
        <v>15000</v>
      </c>
      <c r="M51" s="4"/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4"/>
      <c r="B52" s="26" t="s">
        <v>195</v>
      </c>
      <c r="C52" s="109"/>
      <c r="D52" s="4"/>
      <c r="E52" s="4"/>
      <c r="F52" s="4"/>
      <c r="G52" s="4"/>
      <c r="H52" s="4"/>
      <c r="I52" s="4"/>
      <c r="J52" s="7" t="s">
        <v>213</v>
      </c>
      <c r="K52" s="8"/>
      <c r="L52" s="9">
        <f>IF(IF(L47&gt;60000,0,IF(L48&gt;60000,MIN(35200-L47,60000-35200),MIN(L48-L47,L48-35200)))&lt;0,0,IF(L47&gt;60000,0,IF(L48&gt;60000,MIN(35200-L47,60000-35200),MIN(L48-L47,L48-35200))))</f>
        <v>955.69036933332973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129" t="s">
        <v>261</v>
      </c>
      <c r="C53" s="117"/>
      <c r="H53" s="4"/>
      <c r="I53" s="4"/>
      <c r="J53" s="7" t="s">
        <v>214</v>
      </c>
      <c r="K53" s="8"/>
      <c r="L53" s="9">
        <f>IF(IF(L47&gt;30000,0,IF(L48&gt;300000,MIN(60000-L47,300000-60000),MIN(L48-L47,L48-60000)))&lt;0,0,IF(L47&gt;30000,0,IF(L48&gt;300000,MIN(60000-L47,300000-60000),MIN(L48-L47,L48-60000))))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25" t="s">
        <v>193</v>
      </c>
      <c r="C54" s="109"/>
      <c r="H54" s="4"/>
      <c r="I54" s="4"/>
      <c r="J54" s="7" t="s">
        <v>215</v>
      </c>
      <c r="K54" s="8"/>
      <c r="L54" s="9">
        <f>ROUND(L49*0.19,2)</f>
        <v>0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194</v>
      </c>
      <c r="C55" s="109" t="s">
        <v>182</v>
      </c>
      <c r="G55" s="4"/>
      <c r="H55" s="4"/>
      <c r="I55" s="4"/>
      <c r="J55" s="7" t="s">
        <v>216</v>
      </c>
      <c r="K55" s="8"/>
      <c r="L55" s="9">
        <f>ROUND(L50*0.24,2)</f>
        <v>984</v>
      </c>
      <c r="M55" s="4"/>
      <c r="N55" s="4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201</v>
      </c>
      <c r="C56" s="18" t="s">
        <v>138</v>
      </c>
      <c r="G56" s="4"/>
      <c r="H56" s="4"/>
      <c r="I56" s="4"/>
      <c r="J56" s="7" t="s">
        <v>217</v>
      </c>
      <c r="K56" s="8"/>
      <c r="L56" s="9">
        <f>ROUND(L51*0.3,2)</f>
        <v>4500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6" t="s">
        <v>195</v>
      </c>
      <c r="C57" s="109"/>
      <c r="G57" s="4"/>
      <c r="H57" s="4"/>
      <c r="I57" s="4"/>
      <c r="J57" s="7" t="s">
        <v>218</v>
      </c>
      <c r="K57" s="8"/>
      <c r="L57" s="9">
        <f>ROUND(L52*0.37,2)</f>
        <v>353.61</v>
      </c>
      <c r="P57" s="4"/>
      <c r="Q57" s="4"/>
      <c r="R57" s="4"/>
      <c r="S57" s="4"/>
      <c r="T57" s="4"/>
      <c r="U57" s="4"/>
      <c r="V57" s="4"/>
      <c r="W57" s="4"/>
    </row>
    <row r="58" spans="1:23" ht="14.65" thickBot="1" x14ac:dyDescent="0.5">
      <c r="A58" s="4"/>
      <c r="B58" s="129" t="s">
        <v>262</v>
      </c>
      <c r="C58" s="117"/>
      <c r="G58" s="4"/>
      <c r="H58" s="4"/>
      <c r="I58" s="4"/>
      <c r="J58" s="7" t="s">
        <v>219</v>
      </c>
      <c r="K58" s="8"/>
      <c r="L58" s="9">
        <f>ROUND(L53*0.45,2)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25" t="s">
        <v>193</v>
      </c>
      <c r="C59" s="109"/>
      <c r="G59" s="4"/>
      <c r="H59" s="4"/>
      <c r="I59" s="4"/>
      <c r="J59" s="7" t="s">
        <v>266</v>
      </c>
      <c r="K59" s="8"/>
      <c r="L59" s="49">
        <f>SUM(L54:L58)</f>
        <v>5837.61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194</v>
      </c>
      <c r="C60" s="109" t="s">
        <v>182</v>
      </c>
      <c r="G60" s="4"/>
      <c r="H60" s="4"/>
      <c r="I60" s="4"/>
      <c r="J60" s="7" t="s">
        <v>264</v>
      </c>
      <c r="K60" s="8"/>
      <c r="L60" s="49">
        <f>MAX(0,C129-L36)</f>
        <v>5837.6054366533317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7" t="s">
        <v>201</v>
      </c>
      <c r="C61" s="18" t="s">
        <v>138</v>
      </c>
      <c r="G61" s="4"/>
      <c r="H61" s="4"/>
      <c r="I61" s="4"/>
      <c r="J61" s="80" t="s">
        <v>220</v>
      </c>
      <c r="K61" s="81"/>
      <c r="L61" s="82">
        <f>IF(M61&lt;0.02,0.02,M61)</f>
        <v>0.14144583592563226</v>
      </c>
      <c r="M61" s="4">
        <f>IF(L60&lt;L59,L60/L35,L59/L35)</f>
        <v>0.14144583592563226</v>
      </c>
    </row>
    <row r="62" spans="1:23" ht="14.65" thickBot="1" x14ac:dyDescent="0.5">
      <c r="A62" s="4"/>
      <c r="B62" s="26" t="s">
        <v>195</v>
      </c>
      <c r="C62" s="109"/>
      <c r="G62" s="4"/>
      <c r="H62" s="4"/>
      <c r="I62" s="4"/>
    </row>
    <row r="63" spans="1:23" ht="14.65" thickBot="1" x14ac:dyDescent="0.5">
      <c r="A63" s="4"/>
      <c r="B63" s="129" t="s">
        <v>263</v>
      </c>
      <c r="C63" s="117"/>
      <c r="G63" s="4"/>
      <c r="H63" s="4"/>
      <c r="I63" s="4"/>
      <c r="J63" s="74" t="s">
        <v>222</v>
      </c>
      <c r="K63" s="77"/>
      <c r="L63" s="78"/>
    </row>
    <row r="64" spans="1:23" ht="14.65" thickBot="1" x14ac:dyDescent="0.5">
      <c r="A64" s="4"/>
      <c r="B64" s="25" t="s">
        <v>193</v>
      </c>
      <c r="C64" s="109"/>
      <c r="G64" s="4"/>
      <c r="H64" s="4"/>
      <c r="I64" s="4"/>
      <c r="J64" s="7" t="s">
        <v>224</v>
      </c>
      <c r="L64" s="71">
        <v>4.7E-2</v>
      </c>
    </row>
    <row r="65" spans="1:12" ht="14.65" thickBot="1" x14ac:dyDescent="0.5">
      <c r="A65" s="4"/>
      <c r="B65" s="25" t="s">
        <v>194</v>
      </c>
      <c r="C65" s="109" t="s">
        <v>182</v>
      </c>
      <c r="G65" s="4"/>
      <c r="H65" s="4"/>
      <c r="I65" s="4"/>
      <c r="J65" s="7" t="s">
        <v>225</v>
      </c>
      <c r="L65" s="71">
        <v>1.1999999999999999E-3</v>
      </c>
    </row>
    <row r="66" spans="1:12" ht="14.65" thickBot="1" x14ac:dyDescent="0.5">
      <c r="A66" s="4"/>
      <c r="B66" s="27" t="s">
        <v>201</v>
      </c>
      <c r="C66" s="18" t="s">
        <v>138</v>
      </c>
      <c r="G66" s="4"/>
      <c r="H66" s="4"/>
      <c r="I66" s="4"/>
      <c r="J66" s="7" t="s">
        <v>230</v>
      </c>
      <c r="L66" s="71">
        <v>0.28299999999999997</v>
      </c>
    </row>
    <row r="67" spans="1:12" ht="14.65" thickBot="1" x14ac:dyDescent="0.5">
      <c r="A67" s="4"/>
      <c r="B67" s="27" t="s">
        <v>195</v>
      </c>
      <c r="C67" s="109"/>
      <c r="G67" s="4"/>
      <c r="H67" s="4"/>
      <c r="I67" s="4"/>
      <c r="J67" s="7" t="s">
        <v>229</v>
      </c>
      <c r="L67" s="40">
        <v>1.0999999999999999E-2</v>
      </c>
    </row>
    <row r="68" spans="1:12" ht="14.65" thickBot="1" x14ac:dyDescent="0.5">
      <c r="A68" s="30" t="s">
        <v>240</v>
      </c>
      <c r="B68" s="41" t="s">
        <v>237</v>
      </c>
      <c r="C68" s="69">
        <f>IF(B69=A68,1,IF(B69=A69,2,IF(B69=A70,3,0)))</f>
        <v>1</v>
      </c>
      <c r="G68" s="4"/>
      <c r="H68" s="4"/>
      <c r="I68" s="4"/>
      <c r="J68" s="80" t="s">
        <v>228</v>
      </c>
      <c r="K68" s="81"/>
      <c r="L68" s="83">
        <f>L64+L65-ROUND((L66*L67),4)</f>
        <v>4.5100000000000001E-2</v>
      </c>
    </row>
    <row r="69" spans="1:12" ht="42" customHeight="1" thickBot="1" x14ac:dyDescent="0.5">
      <c r="A69" s="30" t="s">
        <v>238</v>
      </c>
      <c r="B69" s="161" t="s">
        <v>240</v>
      </c>
      <c r="C69" s="162"/>
      <c r="G69" s="4"/>
      <c r="H69" s="4"/>
      <c r="I69" s="4"/>
    </row>
    <row r="70" spans="1:12" x14ac:dyDescent="0.45">
      <c r="A70" s="30" t="s">
        <v>239</v>
      </c>
      <c r="B70" s="4" t="s">
        <v>197</v>
      </c>
      <c r="C70" s="4">
        <f>IF(C49&gt;=75,ROUND((1150+1400)/C52,2),IF(C49&gt;=65,ROUND(1150/C52,2),0))</f>
        <v>0</v>
      </c>
      <c r="G70" s="4"/>
      <c r="H70" s="4"/>
      <c r="I70" s="4"/>
      <c r="J70" s="74" t="s">
        <v>223</v>
      </c>
      <c r="K70" s="77"/>
      <c r="L70" s="78"/>
    </row>
    <row r="71" spans="1:12" x14ac:dyDescent="0.45">
      <c r="A71" s="4"/>
      <c r="B71" s="4" t="s">
        <v>198</v>
      </c>
      <c r="C71" s="4">
        <f>IF(C54&gt;=75,ROUND((1150+1400)/C57,2),IF(C54&gt;=65,ROUND(1150/C57,2),0))</f>
        <v>0</v>
      </c>
      <c r="D71" s="4"/>
      <c r="E71" s="4"/>
      <c r="F71" s="4"/>
      <c r="G71" s="4"/>
      <c r="H71" s="4"/>
      <c r="I71" s="4"/>
      <c r="J71" s="7" t="s">
        <v>224</v>
      </c>
      <c r="L71" s="71">
        <v>4.7E-2</v>
      </c>
    </row>
    <row r="72" spans="1:12" x14ac:dyDescent="0.45">
      <c r="A72" s="4"/>
      <c r="B72" s="4" t="s">
        <v>199</v>
      </c>
      <c r="C72" s="4">
        <f>IF(C59&gt;=75,ROUND((1150+1400)/C62,2),IF(C59&gt;=65,ROUND(1150/C62,2),0))</f>
        <v>0</v>
      </c>
      <c r="D72" s="4"/>
      <c r="E72" s="4"/>
      <c r="F72" s="4"/>
      <c r="G72" s="4"/>
      <c r="H72" s="4"/>
      <c r="I72" s="4"/>
      <c r="J72" s="7" t="s">
        <v>225</v>
      </c>
      <c r="L72" s="71">
        <v>1.1999999999999999E-3</v>
      </c>
    </row>
    <row r="73" spans="1:12" x14ac:dyDescent="0.45">
      <c r="A73" s="4"/>
      <c r="B73" s="4" t="s">
        <v>200</v>
      </c>
      <c r="C73" s="4">
        <f>IF(C64&gt;=75,ROUND((1150+1400)/C67,2),IF(C64&gt;=65,ROUND(1150/C67,2),0))</f>
        <v>0</v>
      </c>
      <c r="D73" s="4"/>
      <c r="E73" s="4"/>
      <c r="F73" s="4"/>
      <c r="G73" s="4"/>
      <c r="H73" s="4"/>
      <c r="I73" s="4"/>
      <c r="J73" s="7" t="s">
        <v>226</v>
      </c>
      <c r="L73" s="71">
        <v>1.55E-2</v>
      </c>
    </row>
    <row r="74" spans="1:12" x14ac:dyDescent="0.45">
      <c r="B74" s="4" t="s">
        <v>202</v>
      </c>
      <c r="C74" s="4">
        <f>IF(C49&lt;65,0,IF(C50=A40,ROUND(12000/C52,2),IF(AND(C50=A41,C51="No"),ROUND(3000/C52,2),IF(AND(C50=A41,C51="Sí"),ROUND(6000/C52,2),""))))</f>
        <v>0</v>
      </c>
      <c r="D74" s="4"/>
      <c r="E74" s="4"/>
      <c r="F74" s="4"/>
      <c r="G74" s="4"/>
      <c r="H74" s="4"/>
      <c r="I74" s="4"/>
      <c r="J74" s="7" t="s">
        <v>227</v>
      </c>
      <c r="L74" s="71">
        <v>1E-3</v>
      </c>
    </row>
    <row r="75" spans="1:12" ht="14.65" thickBot="1" x14ac:dyDescent="0.5">
      <c r="B75" s="4" t="s">
        <v>203</v>
      </c>
      <c r="C75" s="4">
        <f>IF(C54&lt;65,0,IF(C55=A40,ROUND(12000/C57,2),IF(AND(C55=A41,C56="No"),ROUND(3000/C57,2),IF(AND(C55=A41,C56="Sí"),ROUND(6000/C57,2),""))))</f>
        <v>0</v>
      </c>
      <c r="D75" s="4"/>
      <c r="E75" s="4"/>
      <c r="F75" s="4"/>
      <c r="G75" s="4"/>
      <c r="H75" s="4"/>
      <c r="I75" s="4"/>
      <c r="J75" s="80" t="s">
        <v>228</v>
      </c>
      <c r="K75" s="81"/>
      <c r="L75" s="82">
        <f>SUM(L71:L74)</f>
        <v>6.4700000000000008E-2</v>
      </c>
    </row>
    <row r="76" spans="1:12" x14ac:dyDescent="0.45">
      <c r="B76" s="4" t="s">
        <v>204</v>
      </c>
      <c r="C76" s="4">
        <f>IF(C59&lt;65,0,IF(C60=A40,ROUND(12000/C62,2),IF(AND(C60=A41,C61="No"),ROUND(3000/C62,2),IF(AND(C60=A41,C61="Sí"),ROUND(6000/C62,2),""))))</f>
        <v>0</v>
      </c>
      <c r="D76" s="4"/>
      <c r="E76" s="4"/>
      <c r="F76" s="4"/>
      <c r="G76" s="4"/>
      <c r="H76" s="4"/>
      <c r="I76" s="4"/>
    </row>
    <row r="77" spans="1:12" x14ac:dyDescent="0.45">
      <c r="B77" s="4" t="s">
        <v>205</v>
      </c>
      <c r="C77" s="4">
        <f>IF(C64&lt;65,0,IF(C65=A40,ROUND(12000/C67,2),IF(AND(C65=A41,C66="No"),ROUND(3000/C67,2),IF(AND(C65=A41,C66="Sí"),ROUND(6000/C67,2),""))))</f>
        <v>0</v>
      </c>
      <c r="D77" s="4"/>
      <c r="E77" s="4"/>
      <c r="F77" s="4"/>
      <c r="G77" s="4"/>
      <c r="H77" s="4"/>
      <c r="I77" s="4"/>
    </row>
    <row r="78" spans="1:12" x14ac:dyDescent="0.45">
      <c r="B78" s="4"/>
      <c r="C78" s="4"/>
      <c r="I78" s="4"/>
    </row>
    <row r="79" spans="1:12" x14ac:dyDescent="0.45">
      <c r="B79" s="4" t="s">
        <v>242</v>
      </c>
      <c r="C79" s="4"/>
      <c r="I79" s="4"/>
    </row>
    <row r="80" spans="1:12" x14ac:dyDescent="0.45">
      <c r="B80" s="4" t="s">
        <v>243</v>
      </c>
      <c r="C80" s="33">
        <f>L48-C34</f>
        <v>36155.69036933333</v>
      </c>
      <c r="I80" s="4"/>
    </row>
    <row r="81" spans="2:9" x14ac:dyDescent="0.45">
      <c r="B81" s="4" t="s">
        <v>244</v>
      </c>
      <c r="C81" s="33">
        <f>C34</f>
        <v>0</v>
      </c>
      <c r="I81" s="4"/>
    </row>
    <row r="82" spans="2:9" x14ac:dyDescent="0.45">
      <c r="B82" s="4" t="s">
        <v>245</v>
      </c>
      <c r="C82" s="34">
        <f>MAX(B84:B89)</f>
        <v>9079.1054366533317</v>
      </c>
      <c r="I82" s="4"/>
    </row>
    <row r="83" spans="2:9" x14ac:dyDescent="0.45">
      <c r="B83" s="4" t="s">
        <v>247</v>
      </c>
      <c r="C83" s="4"/>
      <c r="I83" s="4"/>
    </row>
    <row r="84" spans="2:9" x14ac:dyDescent="0.45">
      <c r="B84" s="4" t="str">
        <f>IF(C80&lt;12450,0+(C80)*0.19,"")</f>
        <v/>
      </c>
      <c r="C84" s="4"/>
      <c r="I84" s="4"/>
    </row>
    <row r="85" spans="2:9" x14ac:dyDescent="0.45">
      <c r="B85" s="4" t="str">
        <f>IF(AND(C80&gt;=12450,C80&lt;20200),2365.5+(C80-12450)*0.24,"")</f>
        <v/>
      </c>
      <c r="C85" s="4"/>
      <c r="I85" s="4"/>
    </row>
    <row r="86" spans="2:9" x14ac:dyDescent="0.45">
      <c r="B86" s="4" t="str">
        <f>IF(AND(C80&gt;=20200,C80&lt;35200),4225.5+(C80-20200)*0.3,"")</f>
        <v/>
      </c>
      <c r="C86" s="4"/>
      <c r="I86" s="4"/>
    </row>
    <row r="87" spans="2:9" x14ac:dyDescent="0.45">
      <c r="B87" s="4">
        <f>IF(AND(C80&gt;=35200,C80&lt;60000),8725.5+(C80-35200)*0.37,"")</f>
        <v>9079.1054366533317</v>
      </c>
      <c r="C87" s="4"/>
      <c r="I87" s="4"/>
    </row>
    <row r="88" spans="2:9" x14ac:dyDescent="0.45">
      <c r="B88" s="4" t="str">
        <f>IF(AND(C80&gt;=60000,C80&lt;300000),17901.5+(C80-60000)*0.45,"")</f>
        <v/>
      </c>
      <c r="C88" s="4"/>
      <c r="I88" s="4"/>
    </row>
    <row r="89" spans="2:9" x14ac:dyDescent="0.45">
      <c r="B89" s="4" t="str">
        <f>IF(C80&gt;300000,125901.5+(C80-300000)*0.47,"")</f>
        <v/>
      </c>
      <c r="C89" s="4"/>
      <c r="I89" s="4"/>
    </row>
    <row r="90" spans="2:9" x14ac:dyDescent="0.45">
      <c r="B90" s="4" t="s">
        <v>246</v>
      </c>
      <c r="C90" s="34">
        <f>MAX(B91:B96)</f>
        <v>0</v>
      </c>
      <c r="I90" s="4"/>
    </row>
    <row r="91" spans="2:9" x14ac:dyDescent="0.45">
      <c r="B91" s="4">
        <f>IF(C81&lt;12450,0+(C81)*0.19,"")</f>
        <v>0</v>
      </c>
      <c r="C91" s="4"/>
      <c r="I91" s="4"/>
    </row>
    <row r="92" spans="2:9" x14ac:dyDescent="0.45">
      <c r="B92" s="4" t="str">
        <f>IF(AND(C81&gt;=12450,C81&lt;20200),2365.5+(C81-12450)*0.24,"")</f>
        <v/>
      </c>
      <c r="C92" s="4"/>
      <c r="I92" s="4"/>
    </row>
    <row r="93" spans="2:9" x14ac:dyDescent="0.45">
      <c r="B93" s="4" t="str">
        <f>IF(AND(C81&gt;=20200,C81&lt;35200),4225.5+(C81-20200)*0.3,"")</f>
        <v/>
      </c>
      <c r="C93" s="4"/>
      <c r="I93" s="4"/>
    </row>
    <row r="94" spans="2:9" x14ac:dyDescent="0.45">
      <c r="B94" s="4" t="str">
        <f>IF(AND(C81&gt;=35200,C81&lt;60000),8725.5+(C81-35200)*0.37,"")</f>
        <v/>
      </c>
      <c r="C94" s="4"/>
      <c r="I94" s="4"/>
    </row>
    <row r="95" spans="2:9" x14ac:dyDescent="0.45">
      <c r="B95" s="4" t="str">
        <f>IF(AND(C81&gt;=60000,C81&lt;300000),17901.5+(C81-60000)*0.45,"")</f>
        <v/>
      </c>
      <c r="C95" s="4"/>
    </row>
    <row r="96" spans="2:9" x14ac:dyDescent="0.45">
      <c r="B96" s="4" t="str">
        <f>IF(C81&gt;300000,125901.5+(C81-300000)*0.47,"")</f>
        <v/>
      </c>
      <c r="C96" s="4"/>
    </row>
    <row r="97" spans="2:3" x14ac:dyDescent="0.45">
      <c r="B97" s="4" t="s">
        <v>248</v>
      </c>
      <c r="C97" s="33">
        <f>IF(AND(C34&gt;0,L48-C34&gt;0),C90+C82,C107)</f>
        <v>9079.1054366533317</v>
      </c>
    </row>
    <row r="98" spans="2:3" x14ac:dyDescent="0.45">
      <c r="B98" s="4" t="s">
        <v>249</v>
      </c>
      <c r="C98" s="34">
        <f>IF(AND(C34&gt;0,L48-C34&gt;0),L47+1980,L47)</f>
        <v>16100</v>
      </c>
    </row>
    <row r="99" spans="2:3" x14ac:dyDescent="0.45">
      <c r="B99" s="4" t="s">
        <v>250</v>
      </c>
      <c r="C99" s="34">
        <f>MAX(B100:B105)</f>
        <v>3241.5</v>
      </c>
    </row>
    <row r="100" spans="2:3" x14ac:dyDescent="0.45">
      <c r="B100" s="4" t="str">
        <f>IF(C98&lt;12450,0+(C98)*0.19,"")</f>
        <v/>
      </c>
      <c r="C100" s="4"/>
    </row>
    <row r="101" spans="2:3" x14ac:dyDescent="0.45">
      <c r="B101" s="4">
        <f>IF(AND(C98&gt;=12450,C98&lt;20200),2365.5+(C98-12450)*0.24,"")</f>
        <v>3241.5</v>
      </c>
      <c r="C101" s="4"/>
    </row>
    <row r="102" spans="2:3" x14ac:dyDescent="0.45">
      <c r="B102" s="4" t="str">
        <f>IF(AND(C98&gt;=20200,C98&lt;35200),4225.5+(C98-20200)*0.3,"")</f>
        <v/>
      </c>
      <c r="C102" s="4"/>
    </row>
    <row r="103" spans="2:3" x14ac:dyDescent="0.45">
      <c r="B103" s="4" t="str">
        <f>IF(AND(C98&gt;=35200,C98&lt;60000),8725.5+(C98-35200)*0.37,"")</f>
        <v/>
      </c>
      <c r="C103" s="4"/>
    </row>
    <row r="104" spans="2:3" x14ac:dyDescent="0.45">
      <c r="B104" s="4" t="str">
        <f>IF(AND(C98&gt;=60000,C98&lt;300000),17901.5+(C98-60000)*0.45,"")</f>
        <v/>
      </c>
      <c r="C104" s="4"/>
    </row>
    <row r="105" spans="2:3" x14ac:dyDescent="0.45">
      <c r="B105" s="4" t="str">
        <f>IF(C98&gt;300000,125901.5+(C98-300000)*0.47,"")</f>
        <v/>
      </c>
      <c r="C105" s="4"/>
    </row>
    <row r="106" spans="2:3" x14ac:dyDescent="0.45">
      <c r="B106" s="4" t="s">
        <v>251</v>
      </c>
      <c r="C106" s="35">
        <f>IF(C97&gt;C99,C97-C99,L59)</f>
        <v>5837.6054366533317</v>
      </c>
    </row>
    <row r="107" spans="2:3" x14ac:dyDescent="0.45">
      <c r="B107" s="4" t="s">
        <v>252</v>
      </c>
      <c r="C107" s="34">
        <f>MAX(B108:B114)</f>
        <v>9079.1054366533317</v>
      </c>
    </row>
    <row r="108" spans="2:3" x14ac:dyDescent="0.45">
      <c r="B108" s="4" t="str">
        <f>IF(L48&lt;12450,0+(L48)*0.19,"")</f>
        <v/>
      </c>
      <c r="C108" s="4"/>
    </row>
    <row r="109" spans="2:3" x14ac:dyDescent="0.45">
      <c r="B109" s="4" t="str">
        <f>IF(AND(L48&gt;=12450,L48&lt;20200),2365.5+(L48-12450)*0.24,"")</f>
        <v/>
      </c>
      <c r="C109" s="4"/>
    </row>
    <row r="110" spans="2:3" x14ac:dyDescent="0.45">
      <c r="B110" s="4" t="str">
        <f>IF(AND(L48&gt;=20200,L48&lt;35200),4225.5+(L48-20200)*0.3,"")</f>
        <v/>
      </c>
      <c r="C110" s="4"/>
    </row>
    <row r="111" spans="2:3" x14ac:dyDescent="0.45">
      <c r="B111" s="4">
        <f>IF(AND(L48&gt;=35200,L48&lt;60000),8725.5+(L48-35200)*0.37,"")</f>
        <v>9079.1054366533317</v>
      </c>
      <c r="C111" s="4"/>
    </row>
    <row r="112" spans="2:3" x14ac:dyDescent="0.45">
      <c r="B112" s="4" t="str">
        <f>IF(AND(L48&gt;=60000,L48&lt;300000),17901.5+(L48-60000)*0.45,"")</f>
        <v/>
      </c>
      <c r="C112" s="4"/>
    </row>
    <row r="113" spans="2:3" x14ac:dyDescent="0.45">
      <c r="B113" s="4" t="str">
        <f>IF(L48&gt;300000,125901.5+(L48-300000)*0.47,"")</f>
        <v/>
      </c>
      <c r="C113" s="4"/>
    </row>
    <row r="114" spans="2:3" x14ac:dyDescent="0.45">
      <c r="B114" s="4"/>
      <c r="C114" s="4"/>
    </row>
    <row r="115" spans="2:3" x14ac:dyDescent="0.45">
      <c r="B115" s="4"/>
      <c r="C115" s="4"/>
    </row>
    <row r="116" spans="2:3" x14ac:dyDescent="0.45">
      <c r="B116" s="4" t="s">
        <v>253</v>
      </c>
      <c r="C116" s="4"/>
    </row>
    <row r="117" spans="2:3" x14ac:dyDescent="0.45">
      <c r="B117" s="4" t="s">
        <v>255</v>
      </c>
      <c r="C117" s="4"/>
    </row>
    <row r="118" spans="2:3" x14ac:dyDescent="0.45">
      <c r="B118" s="4" t="s">
        <v>254</v>
      </c>
      <c r="C118" s="4"/>
    </row>
    <row r="119" spans="2:3" x14ac:dyDescent="0.45">
      <c r="B119" s="4">
        <f>IF(AND(L35&lt;=35200,C68=1,C35=1),(L35-(17270+C118+C119))*0.43,0)</f>
        <v>0</v>
      </c>
      <c r="C119" s="4"/>
    </row>
    <row r="120" spans="2:3" x14ac:dyDescent="0.45">
      <c r="B120" s="4">
        <f>IF(AND(L35&lt;=35200,C68=1,C35&gt;1),(L35-(18617+C118+C119))*0.43,0)</f>
        <v>0</v>
      </c>
      <c r="C120" s="4"/>
    </row>
    <row r="121" spans="2:3" x14ac:dyDescent="0.45">
      <c r="B121" s="4">
        <f>IF(AND(L35&lt;=35200,C68=2,C35=0),(L35-(16696+C118+C119))*0.43,0)</f>
        <v>0</v>
      </c>
      <c r="C121" s="4"/>
    </row>
    <row r="122" spans="2:3" x14ac:dyDescent="0.45">
      <c r="B122" s="4">
        <f>IF(AND(L35&lt;=35200,C68=2,C35=1),(L35-(17894+C118+C119))*0.43,0)</f>
        <v>0</v>
      </c>
      <c r="C122" s="4"/>
    </row>
    <row r="123" spans="2:3" x14ac:dyDescent="0.45">
      <c r="B123" s="4">
        <f>IF(AND(L35&lt;=35200,C68=2,C35&gt;1),(L35-(19241+C118+C119))*0.43,0)</f>
        <v>0</v>
      </c>
      <c r="C123" s="4"/>
    </row>
    <row r="124" spans="2:3" x14ac:dyDescent="0.45">
      <c r="B124" s="4">
        <f>IF(AND(L35&lt;=35200,C68=3,C35=0),(L35-(15000+C118+C119))*0.43,0)</f>
        <v>0</v>
      </c>
      <c r="C124" s="4"/>
    </row>
    <row r="125" spans="2:3" x14ac:dyDescent="0.45">
      <c r="B125" s="4">
        <f>IF(AND(L35&lt;=35200,C68=3,C35=1),(L35-(15599+C118+C119))*0.43,0)</f>
        <v>0</v>
      </c>
      <c r="C125" s="4"/>
    </row>
    <row r="126" spans="2:3" x14ac:dyDescent="0.45">
      <c r="B126" s="4">
        <f>IF(AND(L35&lt;=35200,C68=3,C35&gt;1),(L35-(16272+C118+C119))*0.43,0)</f>
        <v>0</v>
      </c>
      <c r="C126" s="4"/>
    </row>
    <row r="127" spans="2:3" x14ac:dyDescent="0.45">
      <c r="B127" s="4" t="s">
        <v>257</v>
      </c>
      <c r="C127" s="4" t="str">
        <f>IF(MAX(B119:B126)&gt;0,"Sí","No")</f>
        <v>No</v>
      </c>
    </row>
    <row r="128" spans="2:3" x14ac:dyDescent="0.45">
      <c r="B128" s="4" t="s">
        <v>258</v>
      </c>
      <c r="C128" s="4">
        <f>MAX(B119:B126)</f>
        <v>0</v>
      </c>
    </row>
    <row r="129" spans="2:3" x14ac:dyDescent="0.45">
      <c r="B129" s="4" t="s">
        <v>256</v>
      </c>
      <c r="C129" s="35">
        <f>IF(C127="No",C106,IF(C106&gt;C128,C128,C106))</f>
        <v>5837.6054366533317</v>
      </c>
    </row>
    <row r="130" spans="2:3" x14ac:dyDescent="0.45">
      <c r="B130" s="4"/>
      <c r="C130" s="4"/>
    </row>
    <row r="131" spans="2:3" x14ac:dyDescent="0.45">
      <c r="B131" s="4"/>
      <c r="C131" s="4"/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</sheetData>
  <mergeCells count="13">
    <mergeCell ref="J2:K2"/>
    <mergeCell ref="M4:M5"/>
    <mergeCell ref="B28:C28"/>
    <mergeCell ref="B69:C69"/>
    <mergeCell ref="B3:C3"/>
    <mergeCell ref="J3:K3"/>
    <mergeCell ref="J4:K5"/>
    <mergeCell ref="L4:L5"/>
    <mergeCell ref="B31:C31"/>
    <mergeCell ref="B41:B43"/>
    <mergeCell ref="C41:C43"/>
    <mergeCell ref="B44:B46"/>
    <mergeCell ref="C44:C46"/>
  </mergeCells>
  <dataValidations count="18">
    <dataValidation type="list" allowBlank="1" showInputMessage="1" showErrorMessage="1" sqref="B69" xr:uid="{00000000-0002-0000-0300-000000000000}">
      <formula1>$A$68:$A$70</formula1>
    </dataValidation>
    <dataValidation type="list" allowBlank="1" showInputMessage="1" showErrorMessage="1" sqref="C38 C55 C50 C60 C65" xr:uid="{00000000-0002-0000-0300-000001000000}">
      <formula1>$A$38:$A$42</formula1>
    </dataValidation>
    <dataValidation type="whole" allowBlank="1" showInputMessage="1" showErrorMessage="1" sqref="C44" xr:uid="{00000000-0002-0000-0300-000002000000}">
      <formula1>0</formula1>
      <formula2>C40</formula2>
    </dataValidation>
    <dataValidation type="whole" allowBlank="1" showInputMessage="1" showErrorMessage="1" sqref="C52 C62 C57 C67" xr:uid="{00000000-0002-0000-0300-000003000000}">
      <formula1>0</formula1>
      <formula2>20</formula2>
    </dataValidation>
    <dataValidation type="whole" allowBlank="1" showInputMessage="1" showErrorMessage="1" sqref="C49 C59 C54 C64" xr:uid="{00000000-0002-0000-0300-000004000000}">
      <formula1>18</formula1>
      <formula2>130</formula2>
    </dataValidation>
    <dataValidation type="whole" allowBlank="1" showInputMessage="1" showErrorMessage="1" sqref="C36 C40:C41" xr:uid="{00000000-0002-0000-0300-000005000000}">
      <formula1>0</formula1>
      <formula2>C35</formula2>
    </dataValidation>
    <dataValidation type="whole" allowBlank="1" showInputMessage="1" showErrorMessage="1" sqref="C35" xr:uid="{00000000-0002-0000-0300-000006000000}">
      <formula1>0</formula1>
      <formula2>100</formula2>
    </dataValidation>
    <dataValidation type="list" allowBlank="1" showInputMessage="1" showErrorMessage="1" sqref="C29" xr:uid="{00000000-0002-0000-0300-000007000000}">
      <formula1>$A$35:$A$37</formula1>
    </dataValidation>
    <dataValidation type="whole" allowBlank="1" showInputMessage="1" showErrorMessage="1" sqref="C27" xr:uid="{00000000-0002-0000-0300-000009000000}">
      <formula1>0</formula1>
      <formula2>10000</formula2>
    </dataValidation>
    <dataValidation type="whole" allowBlank="1" showInputMessage="1" showErrorMessage="1" sqref="C25" xr:uid="{00000000-0002-0000-0300-00000A000000}">
      <formula1>0</formula1>
      <formula2>30</formula2>
    </dataValidation>
    <dataValidation type="list" allowBlank="1" showInputMessage="1" showErrorMessage="1" sqref="C26 C47 C61 C56 C15:C24 C51 C39 C37 C32 C66" xr:uid="{00000000-0002-0000-0300-00000B000000}">
      <formula1>$H$13:$H$14</formula1>
    </dataValidation>
    <dataValidation type="list" allowBlank="1" showInputMessage="1" showErrorMessage="1" sqref="C14" xr:uid="{00000000-0002-0000-0300-00000C000000}">
      <formula1>$F$13:$F$18</formula1>
    </dataValidation>
    <dataValidation type="list" allowBlank="1" showInputMessage="1" showErrorMessage="1" sqref="C13" xr:uid="{00000000-0002-0000-0300-00000D000000}">
      <formula1>$D$13:$D$20</formula1>
    </dataValidation>
    <dataValidation type="decimal" allowBlank="1" showInputMessage="1" showErrorMessage="1" sqref="C4:C5" xr:uid="{00000000-0002-0000-0300-00000E000000}">
      <formula1>0</formula1>
      <formula2>100</formula2>
    </dataValidation>
    <dataValidation type="whole" allowBlank="1" showInputMessage="1" showErrorMessage="1" sqref="C12" xr:uid="{00000000-0002-0000-0300-00000F000000}">
      <formula1>0</formula1>
      <formula2>5</formula2>
    </dataValidation>
    <dataValidation type="whole" allowBlank="1" showInputMessage="1" showErrorMessage="1" sqref="C6:C10" xr:uid="{00000000-0002-0000-0300-000010000000}">
      <formula1>0</formula1>
      <formula2>14</formula2>
    </dataValidation>
    <dataValidation type="list" allowBlank="1" showInputMessage="1" showErrorMessage="1" sqref="C11" xr:uid="{00000000-0002-0000-0300-000011000000}">
      <formula1>$D$5:$D$6</formula1>
    </dataValidation>
    <dataValidation type="whole" allowBlank="1" showInputMessage="1" showErrorMessage="1" sqref="C30" xr:uid="{D03DC1F1-7E87-473F-93E8-8A3FB649F1E6}">
      <formula1>1980</formula1>
      <formula2>2024</formula2>
    </dataValidation>
  </dataValidations>
  <hyperlinks>
    <hyperlink ref="B2" location="Inicio!A1" display="Ir a inicio" xr:uid="{00000000-0004-0000-03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37"/>
  <sheetViews>
    <sheetView showRowColHeaders="0" topLeftCell="A30" zoomScaleNormal="100" workbookViewId="0">
      <selection activeCell="L38" sqref="L38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L4-SUM(L27:L31)</f>
        <v>2333.1174429594084</v>
      </c>
      <c r="M3" s="73">
        <f>M4-SUM(M27:M31)</f>
        <v>2148.4893052435482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SUM(L6:L25)</f>
        <v>3230.7</v>
      </c>
      <c r="M4" s="157">
        <f>SUM(M6:M25)</f>
        <v>2699.5099999999998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ROUND((C4/100)*Datos!E4,2)</f>
        <v>1387.24</v>
      </c>
      <c r="M6" s="52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ROUND(($C$4/100)*Datos!E8,2)</f>
        <v>873.38</v>
      </c>
      <c r="M7" s="53">
        <f>L7</f>
        <v>873.38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ROUND(($C$4/100)*Datos!E12,2)</f>
        <v>970.08</v>
      </c>
      <c r="M8" s="53">
        <f>L8</f>
        <v>970.08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05" t="s">
        <v>278</v>
      </c>
      <c r="C11" s="69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IF(C13=D14,ROUND(C4*MAX(E27:E32,G27:G32)/100,2),0)</f>
        <v>0</v>
      </c>
      <c r="M11" s="53">
        <f t="shared" ref="M11:M25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IF(C13=D16,ROUND(C4*MAX(F27:F31,H27:H31)/100,2),0)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65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IF(C13=D15,ROUND(C4*MAX(F27:F31,H27:H31)/100,2),0)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65" thickBot="1" x14ac:dyDescent="0.5">
      <c r="A14" s="4"/>
      <c r="B14" s="129" t="s">
        <v>124</v>
      </c>
      <c r="C14" s="18"/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IF(C13=D17,ROUND(Datos!E77*'Catedráticos Conservatorios'!C4/100,2),0)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65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">
        <v>273</v>
      </c>
      <c r="K15" s="61"/>
      <c r="L15" s="53">
        <f>IF(D21&gt;0,ROUND(C4*MAX(E27:E33,G27:G33)*D21/100,2),0)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.1499999999999999" hidden="1" customHeight="1" thickBot="1" x14ac:dyDescent="0.5">
      <c r="A16" s="4"/>
      <c r="B16" s="23" t="s">
        <v>314</v>
      </c>
      <c r="C16" s="18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tr">
        <f>B17</f>
        <v>-</v>
      </c>
      <c r="K16" s="61"/>
      <c r="L16" s="53">
        <f>IF(C17="Sí",ROUND(Datos!E86*'Catedráticos Conservatorios'!C4/100,2),0)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3.9" hidden="1" customHeight="1" thickBot="1" x14ac:dyDescent="0.5">
      <c r="A17" s="4"/>
      <c r="B17" s="23" t="s">
        <v>314</v>
      </c>
      <c r="C17" s="18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 t="str">
        <f>B18</f>
        <v>.</v>
      </c>
      <c r="K17" s="61"/>
      <c r="L17" s="53">
        <f>IF(C18="Sí",ROUND(Datos!E87*'Catedráticos Conservatorios'!C4/100,2),0)</f>
        <v>0</v>
      </c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65" hidden="1" thickBot="1" x14ac:dyDescent="0.5">
      <c r="A18" s="4"/>
      <c r="B18" s="23" t="s">
        <v>315</v>
      </c>
      <c r="C18" s="18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 t="str">
        <f>B19</f>
        <v>.</v>
      </c>
      <c r="K18" s="61"/>
      <c r="L18" s="53">
        <f>IF(C19="Sí",ROUND(Datos!E89*'Catedráticos Conservatorios'!C4/100,2),0)</f>
        <v>0</v>
      </c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idden="1" x14ac:dyDescent="0.45">
      <c r="A19" s="4"/>
      <c r="B19" s="24" t="s">
        <v>315</v>
      </c>
      <c r="C19" s="95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 t="str">
        <f>B20</f>
        <v>.</v>
      </c>
      <c r="K19" s="61"/>
      <c r="L19" s="53">
        <f>IF(C20="Sí",ROUND(Datos!E90*'Catedráticos Conservatorios'!C4/100,2),0)</f>
        <v>0</v>
      </c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5.75" customHeight="1" x14ac:dyDescent="0.45">
      <c r="A20" s="4"/>
      <c r="B20" s="105" t="s">
        <v>315</v>
      </c>
      <c r="C20" s="69" t="s">
        <v>138</v>
      </c>
      <c r="D20" s="4" t="s">
        <v>277</v>
      </c>
      <c r="E20" s="4"/>
      <c r="F20" s="4"/>
      <c r="G20" s="4"/>
      <c r="H20" s="4"/>
      <c r="I20" s="4"/>
      <c r="J20" s="36" t="s">
        <v>48</v>
      </c>
      <c r="K20" s="61"/>
      <c r="L20" s="53">
        <f>IF(C15="Sí",ROUND(Datos!E91*'Catedráticos Conservatorios'!C4/100,2),0)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0.4" hidden="1" customHeight="1" thickBot="1" x14ac:dyDescent="0.5">
      <c r="A21" s="4"/>
      <c r="B21" s="105" t="s">
        <v>315</v>
      </c>
      <c r="C21" s="69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IF(C22="Sí",ROUND(Datos!E97*'Catedráticos Conservatorios'!C4/100,2),0)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3.75" hidden="1" customHeight="1" thickBot="1" x14ac:dyDescent="0.5">
      <c r="A22" s="4"/>
      <c r="B22" s="105" t="s">
        <v>315</v>
      </c>
      <c r="C22" s="69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IF(C23="Sí",ROUND(C4*SUM(D23:D25)/100,2),0)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idden="1" x14ac:dyDescent="0.45">
      <c r="A23" s="4"/>
      <c r="B23" s="105" t="s">
        <v>315</v>
      </c>
      <c r="C23" s="69" t="s">
        <v>138</v>
      </c>
      <c r="D23" s="4">
        <f>IF(C23="No",0,Datos!E102)</f>
        <v>0</v>
      </c>
      <c r="E23" s="4"/>
      <c r="F23" s="4"/>
      <c r="G23" s="4"/>
      <c r="H23" s="4"/>
      <c r="I23" s="4"/>
      <c r="J23" s="36" t="s">
        <v>153</v>
      </c>
      <c r="K23" s="61"/>
      <c r="L23" s="53">
        <f>IF(C26="Sí",ROUND(C4*MIN(D27:D36)/100,2),0)</f>
        <v>0</v>
      </c>
      <c r="M23" s="53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2.4" hidden="1" customHeight="1" thickBot="1" x14ac:dyDescent="0.5">
      <c r="A24" s="4"/>
      <c r="B24" s="107" t="s">
        <v>314</v>
      </c>
      <c r="C24" s="69" t="s">
        <v>138</v>
      </c>
      <c r="D24" s="4">
        <f>IF(AND(C23="Sí",C24="Sí"),Datos!E103,0)</f>
        <v>0</v>
      </c>
      <c r="E24" s="4"/>
      <c r="F24" s="4"/>
      <c r="G24" s="4"/>
      <c r="H24" s="4"/>
      <c r="I24" s="4"/>
      <c r="K24" s="62"/>
      <c r="L24" s="53">
        <f>IF(D21&gt;0,ROUND(C4*MAX(E27:E33,G27:G33)*D21/100,2),0)</f>
        <v>0</v>
      </c>
      <c r="M24" s="53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3.75" hidden="1" customHeight="1" thickBot="1" x14ac:dyDescent="0.5">
      <c r="A25" s="4"/>
      <c r="B25" s="107" t="s">
        <v>314</v>
      </c>
      <c r="C25" s="69">
        <v>0</v>
      </c>
      <c r="D25" s="4">
        <f>IF(C23="Sí",C25*Datos!E104,0)</f>
        <v>0</v>
      </c>
      <c r="E25" s="4"/>
      <c r="F25" s="4"/>
      <c r="G25" s="4"/>
      <c r="H25" s="4"/>
      <c r="I25" s="4"/>
      <c r="J25" s="54"/>
      <c r="K25" s="63"/>
      <c r="L25" s="55">
        <f>IF(C21="Sí",ROUND(Datos!E92*C4/100,2),0)</f>
        <v>0</v>
      </c>
      <c r="M25" s="55">
        <f t="shared" si="1"/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x14ac:dyDescent="0.45">
      <c r="A26" s="4"/>
      <c r="B26" s="105" t="s">
        <v>145</v>
      </c>
      <c r="C26" s="69" t="s">
        <v>138</v>
      </c>
      <c r="D26" s="4"/>
      <c r="E26" s="4" t="s">
        <v>125</v>
      </c>
      <c r="F26" s="4" t="s">
        <v>154</v>
      </c>
      <c r="G26" s="4" t="s">
        <v>280</v>
      </c>
      <c r="H26" s="4" t="s">
        <v>281</v>
      </c>
      <c r="I26" s="4"/>
      <c r="J26" s="57" t="s">
        <v>162</v>
      </c>
      <c r="K26" s="58"/>
      <c r="L26" s="59"/>
      <c r="M26" s="58"/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x14ac:dyDescent="0.45">
      <c r="A27" s="4"/>
      <c r="B27" s="107" t="s">
        <v>146</v>
      </c>
      <c r="C27" s="69">
        <v>0</v>
      </c>
      <c r="D27" s="4">
        <f>IF($C$27&lt;=50,Datos!E107,"")</f>
        <v>17.649999999999999</v>
      </c>
      <c r="E27" s="4" t="str">
        <f>IF(AND(C11=D5,$D12=$D$14,$C$14=F13),Datos!E64,"")</f>
        <v/>
      </c>
      <c r="F27" s="4" t="str">
        <f>IF(AND(OR($C$13=$D$15,$C$13=$D$16),$C$14=F13,C11=D5),Datos!E68,"")</f>
        <v/>
      </c>
      <c r="G27" s="4" t="str">
        <f>IF(AND(C11=D6,$D12=$D$14,$C$14=F13),Datos!E32,"")</f>
        <v/>
      </c>
      <c r="H27" s="4" t="str">
        <f>IF(AND(OR($C$13=$D$15,$C$13=$D$16),$C$14=F13,C11=D6),Datos!E38,"")</f>
        <v/>
      </c>
      <c r="I27" s="4"/>
      <c r="J27" s="7" t="s">
        <v>231</v>
      </c>
      <c r="K27" s="40"/>
      <c r="L27" s="20">
        <f>IF(OR(C29="Funcionario/a de carrera",C29="Funcionario/a en prácticas"),51.68,0)</f>
        <v>0</v>
      </c>
      <c r="M27" s="49">
        <f>L27</f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59" t="s">
        <v>233</v>
      </c>
      <c r="C28" s="160"/>
      <c r="D28" s="4">
        <f>IF($C$27&lt;=100,Datos!E108,"")</f>
        <v>35.32</v>
      </c>
      <c r="E28" s="4" t="str">
        <f>IF(AND(C11=D5,$D$12=$D$14,$C$14=F14),Datos!E65,"")</f>
        <v/>
      </c>
      <c r="F28" s="4" t="str">
        <f>IF(AND(OR($C$13=$D$15,$C$13=$D$16),$C$14=F14,C11=D5),Datos!E69,"")</f>
        <v/>
      </c>
      <c r="G28" s="4" t="str">
        <f>IF(AND(C11=D6,$D12=$D$14,$C$14=F14),Datos!E33,"")</f>
        <v/>
      </c>
      <c r="H28" s="4" t="str">
        <f>IF(AND(OR($C$13=$D$15,$C$13=$D$16),$C$14=F14,C11=D6),Datos!E39,"")</f>
        <v/>
      </c>
      <c r="I28" s="4"/>
      <c r="J28" s="7" t="s">
        <v>232</v>
      </c>
      <c r="K28" s="40"/>
      <c r="L28" s="20">
        <f>IF(AND(L27&gt;0,C30&lt;2011,C30&gt;0),118.04,0)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29" t="s">
        <v>158</v>
      </c>
      <c r="C29" s="18" t="s">
        <v>161</v>
      </c>
      <c r="D29" s="4">
        <f>IF($C$27&lt;=150,Datos!E109,"")</f>
        <v>52.97</v>
      </c>
      <c r="E29" s="4" t="str">
        <f>IF(AND(C11=D5,$D$12=$D$14,$C$14=F15),Datos!E66,"")</f>
        <v/>
      </c>
      <c r="F29" s="4" t="str">
        <f>IF(AND(OR($C$13=$D$15,$C$13=$D$16),$C$14=F15,C11=D5),Datos!E70,"")</f>
        <v/>
      </c>
      <c r="G29" s="4" t="str">
        <f>IF(AND(C11=D6,$D12=$D$14,$C$14=F15),Datos!E34,"")</f>
        <v/>
      </c>
      <c r="H29" s="4" t="str">
        <f>IF(AND(OR($C$13=$D$15,$C$13=$D$16),$C$14=F15,C11=D6),Datos!E40,"")</f>
        <v/>
      </c>
      <c r="I29" s="4"/>
      <c r="J29" s="7" t="s">
        <v>163</v>
      </c>
      <c r="K29" s="40"/>
      <c r="L29" s="20">
        <f>IF(OR(C29=A36,AND(C29=A35,C30&gt;=2011)),(L4+(M4/6))*L68,0)</f>
        <v>0</v>
      </c>
      <c r="M29" s="9">
        <v>0</v>
      </c>
      <c r="P29" s="4"/>
      <c r="Q29" s="4"/>
      <c r="R29" s="4"/>
      <c r="S29" s="4"/>
      <c r="T29" s="4"/>
      <c r="U29" s="4"/>
      <c r="V29" s="4"/>
      <c r="W29" s="4"/>
    </row>
    <row r="30" spans="1:29" ht="14.65" thickBot="1" x14ac:dyDescent="0.5">
      <c r="A30" s="4"/>
      <c r="B30" s="129" t="str">
        <f>IF(C29=A35,"¿En qué año aprobaste la oposición?","")</f>
        <v/>
      </c>
      <c r="C30" s="18"/>
      <c r="D30" s="4">
        <f>IF($C$27&lt;=200,Datos!E110,"")</f>
        <v>70.64</v>
      </c>
      <c r="E30" s="4" t="str">
        <f>IF(AND(C11=D5,$D$12=$D$14,$C$14=F16),Datos!E67,"")</f>
        <v/>
      </c>
      <c r="F30" s="4" t="str">
        <f>IF(AND(OR($C$13=$D$15,$C$13=$D$16),$C$14=F16,C11=D5),Datos!E71,"")</f>
        <v/>
      </c>
      <c r="G30" s="4" t="str">
        <f>IF(AND(C11=D6,$D12=$D$14,$C$14=F13),Datos!E35,"")</f>
        <v/>
      </c>
      <c r="H30" s="4" t="str">
        <f>IF(AND(OR($C$13=$D$15,$C$13=$D$16),$C$14=F16,C11=D6),Datos!E41,"")</f>
        <v/>
      </c>
      <c r="I30" s="4"/>
      <c r="J30" s="7" t="s">
        <v>164</v>
      </c>
      <c r="K30" s="40"/>
      <c r="L30" s="46">
        <f>IF(C29=A37,L4*0.0647+M4*0.0647/6,0)</f>
        <v>238.13600616666662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71" t="s">
        <v>169</v>
      </c>
      <c r="C31" s="172"/>
      <c r="D31" s="4">
        <f>IF($C$27&lt;=250,Datos!E111,"")</f>
        <v>88.29</v>
      </c>
      <c r="E31" s="4" t="str">
        <f>IF(AND($C$13=$D$14,$C$15&lt;&gt;"",$C$15&lt;&gt;$G$13,$C$14=F17),Datos!E36,"")</f>
        <v/>
      </c>
      <c r="F31" s="4"/>
      <c r="G31" s="4" t="str">
        <f>IF(AND(C11=D6,$D12=$D$14,$C$14=F16),Datos!E36,"")</f>
        <v/>
      </c>
      <c r="H31" s="4" t="str">
        <f>IF(AND(OR($C$13=$D$15,$C$13=$D$16),$C$14=F17,C11=D6),Datos!E42,"")</f>
        <v/>
      </c>
      <c r="I31" s="4"/>
      <c r="J31" s="14" t="s">
        <v>165</v>
      </c>
      <c r="K31" s="48">
        <f>L61</f>
        <v>0.20411878257774627</v>
      </c>
      <c r="L31" s="47">
        <f>L4*K31</f>
        <v>659.44655087392482</v>
      </c>
      <c r="M31" s="50">
        <f>M4*K31</f>
        <v>551.0206947564518</v>
      </c>
      <c r="O31" s="4"/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29" t="s">
        <v>171</v>
      </c>
      <c r="C32" s="18" t="s">
        <v>138</v>
      </c>
      <c r="D32" s="4">
        <f>IF($C$27&lt;=300,Datos!E112,"")</f>
        <v>105.96</v>
      </c>
      <c r="E32" s="4" t="str">
        <f>IF(AND($C$13=$D$14,$C$15&lt;&gt;"",$C$15&lt;&gt;$G$13,$C$14=F18),Datos!E37,"")</f>
        <v/>
      </c>
      <c r="F32" s="4"/>
      <c r="G32" s="4" t="str">
        <f>IF(AND(C11=D6,$D12=$D$14,$C$14=F17),Datos!E37,"")</f>
        <v/>
      </c>
      <c r="H32" s="4"/>
      <c r="I32" s="4"/>
      <c r="O32" s="4" t="s">
        <v>176</v>
      </c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191</v>
      </c>
      <c r="C33" s="116">
        <v>0</v>
      </c>
      <c r="D33" s="4">
        <f>IF($C$27&lt;=350,Datos!E113,"")</f>
        <v>123.62</v>
      </c>
      <c r="E33" s="4"/>
      <c r="F33" s="4" t="str">
        <f>IF(AND(OR($C$13=$D$15,$C$13=$D$16),$C$15&lt;&gt;"",$C$15&lt;&gt;$G$13,$C$14=F19),Datos!E44,"")</f>
        <v/>
      </c>
      <c r="G33" s="4" t="str">
        <f>IF(AND(C11=D6,$D12=$D$14,$C$14=F18),Datos!E38,"")</f>
        <v/>
      </c>
      <c r="H33" s="4"/>
      <c r="I33" s="4"/>
      <c r="O33" s="4" t="s">
        <v>177</v>
      </c>
      <c r="P33" s="4">
        <v>2400</v>
      </c>
      <c r="Q33" s="4">
        <v>2400</v>
      </c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190</v>
      </c>
      <c r="C34" s="116">
        <v>0</v>
      </c>
      <c r="D34" s="4">
        <f>IF($C$27&lt;=450,Datos!E114,"")</f>
        <v>141.27000000000001</v>
      </c>
      <c r="E34" s="4"/>
      <c r="F34" s="4"/>
      <c r="G34" s="4"/>
      <c r="H34" s="4"/>
      <c r="I34" s="4"/>
      <c r="J34" s="74" t="s">
        <v>167</v>
      </c>
      <c r="K34" s="75"/>
      <c r="L34" s="76"/>
      <c r="O34" s="4" t="s">
        <v>178</v>
      </c>
      <c r="P34" s="4">
        <v>2700</v>
      </c>
      <c r="Q34" s="4">
        <f>Q33+P34</f>
        <v>5100</v>
      </c>
      <c r="R34" s="4"/>
      <c r="S34" s="4"/>
      <c r="T34" s="4"/>
      <c r="U34" s="4"/>
      <c r="V34" s="4"/>
      <c r="W34" s="4"/>
    </row>
    <row r="35" spans="1:23" ht="14.65" thickBot="1" x14ac:dyDescent="0.5">
      <c r="A35" s="4" t="s">
        <v>159</v>
      </c>
      <c r="B35" s="41" t="s">
        <v>174</v>
      </c>
      <c r="C35" s="18">
        <v>0</v>
      </c>
      <c r="D35" s="4">
        <f>IF($C$27&lt;=450,Datos!E115,"")</f>
        <v>158.94</v>
      </c>
      <c r="E35" s="4"/>
      <c r="F35" s="4"/>
      <c r="G35" s="4"/>
      <c r="H35" s="4"/>
      <c r="I35" s="4"/>
      <c r="J35" s="36" t="s">
        <v>168</v>
      </c>
      <c r="K35" s="37"/>
      <c r="L35" s="70">
        <f>L4*12+M4*2</f>
        <v>44167.419999999991</v>
      </c>
      <c r="O35" s="4" t="s">
        <v>179</v>
      </c>
      <c r="P35" s="4">
        <v>4000</v>
      </c>
      <c r="Q35" s="4">
        <f>Q34+P35</f>
        <v>9100</v>
      </c>
      <c r="R35" s="4"/>
      <c r="S35" s="4"/>
      <c r="T35" s="4"/>
      <c r="U35" s="4"/>
      <c r="V35" s="4"/>
      <c r="W35" s="4"/>
    </row>
    <row r="36" spans="1:23" ht="14.75" customHeight="1" thickBot="1" x14ac:dyDescent="0.5">
      <c r="A36" s="4" t="s">
        <v>160</v>
      </c>
      <c r="B36" s="129" t="s">
        <v>173</v>
      </c>
      <c r="C36" s="18">
        <v>0</v>
      </c>
      <c r="D36" s="4">
        <f>IF($C$27&lt;=1000050,Datos!E116,"")</f>
        <v>176.59</v>
      </c>
      <c r="E36" s="4"/>
      <c r="F36" s="4"/>
      <c r="G36" s="4"/>
      <c r="H36" s="4"/>
      <c r="I36" s="4"/>
      <c r="J36" s="7" t="s">
        <v>259</v>
      </c>
      <c r="K36" s="8"/>
      <c r="L36" s="9">
        <f>IF(AND(C47="Sí",L35&lt;33007.2),TRUNC(L35*0.02),0)</f>
        <v>0</v>
      </c>
      <c r="M36" s="22"/>
      <c r="N36" s="22"/>
      <c r="O36" s="4" t="s">
        <v>180</v>
      </c>
      <c r="P36" s="4">
        <v>4500</v>
      </c>
      <c r="Q36" s="4"/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161</v>
      </c>
      <c r="B37" s="131" t="s">
        <v>196</v>
      </c>
      <c r="C37" s="18" t="s">
        <v>138</v>
      </c>
      <c r="D37" s="4" t="str">
        <f>IF(B69=A68,"Sí","No")</f>
        <v>No</v>
      </c>
      <c r="E37" s="4"/>
      <c r="F37" s="4"/>
      <c r="G37" s="4"/>
      <c r="H37" s="4"/>
      <c r="I37" s="4"/>
      <c r="J37" s="7" t="s">
        <v>265</v>
      </c>
      <c r="K37" s="8"/>
      <c r="L37" s="9">
        <f>IF(L35-L38&lt;14582,7302,IF(L35-L38&lt;17673.52,7302-(1.75*(L35-L38-14852)),IF(L35-L38&lt;19747.5,2364.34-(1.14*(L35-L38-17673.52)),0)))</f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182</v>
      </c>
      <c r="B38" s="129" t="s">
        <v>181</v>
      </c>
      <c r="C38" s="18" t="s">
        <v>182</v>
      </c>
      <c r="D38" s="4"/>
      <c r="E38" s="4"/>
      <c r="F38" s="4"/>
      <c r="G38" s="4"/>
      <c r="H38" s="4"/>
      <c r="I38" s="4"/>
      <c r="J38" s="36" t="s">
        <v>236</v>
      </c>
      <c r="K38" s="37"/>
      <c r="L38" s="70">
        <f>SUM(L27:L30)*14+SUM(M27:M30)*2</f>
        <v>3333.9040863333325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184</v>
      </c>
      <c r="B39" s="131" t="s">
        <v>189</v>
      </c>
      <c r="C39" s="18" t="s">
        <v>138</v>
      </c>
      <c r="D39" s="4"/>
      <c r="E39" s="4"/>
      <c r="F39" s="4"/>
      <c r="G39" s="4"/>
      <c r="H39" s="4"/>
      <c r="I39" s="4"/>
      <c r="J39" s="36" t="s">
        <v>241</v>
      </c>
      <c r="K39" s="37"/>
      <c r="L39" s="70">
        <f>C33+2000+M40</f>
        <v>2000</v>
      </c>
      <c r="M39" s="4"/>
      <c r="N39" s="4"/>
      <c r="O39" s="22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183</v>
      </c>
      <c r="B40" s="129" t="s">
        <v>192</v>
      </c>
      <c r="C40" s="18">
        <v>0</v>
      </c>
      <c r="D40" s="4"/>
      <c r="E40" s="4"/>
      <c r="F40" s="4"/>
      <c r="G40" s="4"/>
      <c r="H40" s="4"/>
      <c r="I40" s="4"/>
      <c r="J40" s="36" t="s">
        <v>170</v>
      </c>
      <c r="K40" s="37"/>
      <c r="L40" s="70">
        <f>IF(C32="Sí",1150+5550,5550)</f>
        <v>5550</v>
      </c>
      <c r="M40" s="4">
        <f>IF(AND(C38=A41,C39="No"),3500,IF(OR(C38=A40,C38=A41),7750,0))</f>
        <v>0</v>
      </c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x14ac:dyDescent="0.45">
      <c r="A41" s="4" t="s">
        <v>185</v>
      </c>
      <c r="B41" s="173" t="s">
        <v>207</v>
      </c>
      <c r="C41" s="175">
        <v>0</v>
      </c>
      <c r="D41" s="4"/>
      <c r="E41" s="4"/>
      <c r="F41" s="4"/>
      <c r="G41" s="4"/>
      <c r="H41" s="4"/>
      <c r="I41" s="4"/>
      <c r="J41" s="36" t="s">
        <v>172</v>
      </c>
      <c r="K41" s="37"/>
      <c r="L41" s="70">
        <f>SUM(C70:C73)</f>
        <v>0</v>
      </c>
      <c r="M41" s="4"/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/>
      <c r="B42" s="173"/>
      <c r="C42" s="176"/>
      <c r="D42" s="4"/>
      <c r="E42" s="4"/>
      <c r="F42" s="4"/>
      <c r="G42" s="4"/>
      <c r="H42" s="4"/>
      <c r="I42" s="4"/>
      <c r="J42" s="36" t="s">
        <v>175</v>
      </c>
      <c r="K42" s="37"/>
      <c r="L42" s="70">
        <f>IF(C37="no",M48/2+1400*C36,M48+2800*C36)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thickBot="1" x14ac:dyDescent="0.5">
      <c r="A43" s="4"/>
      <c r="B43" s="174"/>
      <c r="C43" s="177"/>
      <c r="D43" s="4"/>
      <c r="E43" s="4"/>
      <c r="F43" s="4"/>
      <c r="G43" s="4"/>
      <c r="H43" s="4"/>
      <c r="I43" s="4"/>
      <c r="J43" s="36" t="s">
        <v>186</v>
      </c>
      <c r="K43" s="37"/>
      <c r="L43" s="70">
        <f>IF(C38=A40,9000,IF(C38=A41,3000,0))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x14ac:dyDescent="0.45">
      <c r="A44" s="4"/>
      <c r="B44" s="178" t="s">
        <v>207</v>
      </c>
      <c r="C44" s="175">
        <v>0</v>
      </c>
      <c r="D44" s="4"/>
      <c r="E44" s="4"/>
      <c r="F44" s="4"/>
      <c r="G44" s="4"/>
      <c r="H44" s="4"/>
      <c r="I44" s="4"/>
      <c r="J44" s="36" t="s">
        <v>187</v>
      </c>
      <c r="K44" s="37"/>
      <c r="L44" s="70">
        <f>SUM(C74:C77)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3"/>
      <c r="C45" s="176"/>
      <c r="D45" s="4"/>
      <c r="E45" s="4"/>
      <c r="F45" s="4"/>
      <c r="G45" s="4"/>
      <c r="H45" s="4"/>
      <c r="I45" s="4"/>
      <c r="J45" s="36" t="s">
        <v>188</v>
      </c>
      <c r="K45" s="37"/>
      <c r="L45" s="70">
        <f>IF(C37="Sí",M50,M50/2)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thickBot="1" x14ac:dyDescent="0.5">
      <c r="A46" s="4"/>
      <c r="B46" s="174"/>
      <c r="C46" s="177"/>
      <c r="D46" s="4"/>
      <c r="E46" s="4"/>
      <c r="F46" s="4"/>
      <c r="G46" s="4"/>
      <c r="H46" s="4"/>
      <c r="I46" s="4"/>
      <c r="J46" s="36" t="s">
        <v>206</v>
      </c>
      <c r="K46" s="37"/>
      <c r="L46" s="70">
        <f>IF(OR(C39="Sí",C38=A40),3000,0)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22"/>
      <c r="B47" s="129" t="s">
        <v>267</v>
      </c>
      <c r="C47" s="18" t="s">
        <v>138</v>
      </c>
      <c r="D47" s="4"/>
      <c r="E47" s="4"/>
      <c r="F47" s="4"/>
      <c r="G47" s="4"/>
      <c r="H47" s="4"/>
      <c r="I47" s="4"/>
      <c r="J47" s="7" t="s">
        <v>208</v>
      </c>
      <c r="K47" s="8"/>
      <c r="L47" s="9">
        <f>SUM(L40:L46)</f>
        <v>5550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260</v>
      </c>
      <c r="C48" s="117"/>
      <c r="D48" s="4"/>
      <c r="E48" s="4"/>
      <c r="F48" s="4"/>
      <c r="G48" s="4"/>
      <c r="H48" s="4"/>
      <c r="I48" s="4"/>
      <c r="J48" s="7" t="s">
        <v>209</v>
      </c>
      <c r="K48" s="8"/>
      <c r="L48" s="9">
        <f>MAX(0,L35-L38-L39-L37)</f>
        <v>38833.515913666655</v>
      </c>
      <c r="M48" s="4">
        <f>IF(C35=1,Q33,IF(C35=2,Q34,IF(C35=3,Q35,IF(C35&lt;1,0,Q35+4500*(C35-3)))))</f>
        <v>0</v>
      </c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25" t="s">
        <v>193</v>
      </c>
      <c r="C49" s="109"/>
      <c r="D49" s="4"/>
      <c r="E49" s="4"/>
      <c r="F49" s="4"/>
      <c r="G49" s="4"/>
      <c r="H49" s="4"/>
      <c r="I49" s="4"/>
      <c r="J49" s="7" t="s">
        <v>210</v>
      </c>
      <c r="K49" s="8"/>
      <c r="L49" s="9">
        <f>IF(L47&gt;12450,0,MAX(0,MIN(12450,L48)-L47))</f>
        <v>6900</v>
      </c>
      <c r="M49" s="4"/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194</v>
      </c>
      <c r="C50" s="109"/>
      <c r="D50" s="4"/>
      <c r="E50" s="4"/>
      <c r="F50" s="4"/>
      <c r="G50" s="4"/>
      <c r="H50" s="4"/>
      <c r="I50" s="4"/>
      <c r="J50" s="7" t="s">
        <v>211</v>
      </c>
      <c r="K50" s="8"/>
      <c r="L50" s="9">
        <f>IF(IF(L47&gt;20200,0,IF(L48&gt;20200,MIN(20200-L47,20200-12450),MIN(L48-L47,L48-12450)))&lt;0,0,IF(L47&gt;20200,0,IF(L48&gt;20200,MIN(20200-L47,20200-12450),MIN(L48-L47,L48-12450))))</f>
        <v>7750</v>
      </c>
      <c r="M50" s="4">
        <f>C40*12000+C41*6000+C44*3000</f>
        <v>0</v>
      </c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201</v>
      </c>
      <c r="C51" s="18"/>
      <c r="D51" s="4"/>
      <c r="E51" s="4"/>
      <c r="F51" s="4"/>
      <c r="G51" s="4"/>
      <c r="H51" s="4"/>
      <c r="I51" s="4"/>
      <c r="J51" s="7" t="s">
        <v>212</v>
      </c>
      <c r="K51" s="8"/>
      <c r="L51" s="9">
        <f>IF(IF(L47&gt;35200,0,IF(L48&gt;35200,MIN(35200-L47,35200-20200),MIN(L48-L47,L48-20200)))&lt;0,0,IF(L47&gt;35200,0,IF(L48&gt;35200,MIN(35200-L47,35200-20200),MIN(L48-L47,L48-20200))))</f>
        <v>15000</v>
      </c>
      <c r="M51" s="4"/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4"/>
      <c r="B52" s="26" t="s">
        <v>195</v>
      </c>
      <c r="C52" s="109"/>
      <c r="D52" s="4"/>
      <c r="E52" s="4"/>
      <c r="F52" s="4"/>
      <c r="G52" s="4"/>
      <c r="H52" s="4"/>
      <c r="I52" s="4"/>
      <c r="J52" s="7" t="s">
        <v>213</v>
      </c>
      <c r="K52" s="8"/>
      <c r="L52" s="9">
        <f>IF(IF(L47&gt;60000,0,IF(L48&gt;60000,MIN(35200-L47,60000-35200),MIN(L48-L47,L48-35200)))&lt;0,0,IF(L47&gt;60000,0,IF(L48&gt;60000,MIN(35200-L47,60000-35200),MIN(L48-L47,L48-35200))))</f>
        <v>3633.5159136666553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129" t="s">
        <v>261</v>
      </c>
      <c r="C53" s="117"/>
      <c r="H53" s="4"/>
      <c r="I53" s="4"/>
      <c r="J53" s="7" t="s">
        <v>214</v>
      </c>
      <c r="K53" s="8"/>
      <c r="L53" s="9">
        <f>IF(IF(L47&gt;30000,0,IF(L48&gt;300000,MIN(60000-L47,300000-60000),MIN(L48-L47,L48-60000)))&lt;0,0,IF(L47&gt;30000,0,IF(L48&gt;300000,MIN(60000-L47,300000-60000),MIN(L48-L47,L48-60000))))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25" t="s">
        <v>193</v>
      </c>
      <c r="C54" s="109"/>
      <c r="H54" s="4"/>
      <c r="I54" s="4"/>
      <c r="J54" s="7" t="s">
        <v>215</v>
      </c>
      <c r="K54" s="8"/>
      <c r="L54" s="9">
        <f>ROUND(L49*0.19,2)</f>
        <v>1311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194</v>
      </c>
      <c r="C55" s="109"/>
      <c r="G55" s="4"/>
      <c r="H55" s="4"/>
      <c r="I55" s="4"/>
      <c r="J55" s="7" t="s">
        <v>216</v>
      </c>
      <c r="K55" s="8"/>
      <c r="L55" s="9">
        <f>ROUND(L50*0.24,2)</f>
        <v>1860</v>
      </c>
      <c r="M55" s="4"/>
      <c r="N55" s="4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201</v>
      </c>
      <c r="C56" s="18"/>
      <c r="G56" s="4"/>
      <c r="H56" s="4"/>
      <c r="I56" s="4"/>
      <c r="J56" s="7" t="s">
        <v>217</v>
      </c>
      <c r="K56" s="8"/>
      <c r="L56" s="9">
        <f>ROUND(L51*0.3,2)</f>
        <v>4500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6" t="s">
        <v>195</v>
      </c>
      <c r="C57" s="109"/>
      <c r="G57" s="4"/>
      <c r="H57" s="4"/>
      <c r="I57" s="4"/>
      <c r="J57" s="7" t="s">
        <v>218</v>
      </c>
      <c r="K57" s="8"/>
      <c r="L57" s="9">
        <f>ROUND(L52*0.37,2)</f>
        <v>1344.4</v>
      </c>
      <c r="P57" s="4"/>
      <c r="Q57" s="4"/>
      <c r="R57" s="4"/>
      <c r="S57" s="4"/>
      <c r="T57" s="4"/>
      <c r="U57" s="4"/>
      <c r="V57" s="4"/>
      <c r="W57" s="4"/>
    </row>
    <row r="58" spans="1:23" ht="14.65" thickBot="1" x14ac:dyDescent="0.5">
      <c r="A58" s="4"/>
      <c r="B58" s="129" t="s">
        <v>262</v>
      </c>
      <c r="C58" s="117"/>
      <c r="G58" s="4"/>
      <c r="H58" s="4"/>
      <c r="I58" s="4"/>
      <c r="J58" s="7" t="s">
        <v>219</v>
      </c>
      <c r="K58" s="8"/>
      <c r="L58" s="9">
        <f>ROUND(L53*0.45,2)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25" t="s">
        <v>193</v>
      </c>
      <c r="C59" s="109"/>
      <c r="G59" s="4"/>
      <c r="H59" s="4"/>
      <c r="I59" s="4"/>
      <c r="J59" s="7" t="s">
        <v>266</v>
      </c>
      <c r="K59" s="8"/>
      <c r="L59" s="49">
        <f>SUM(L54:L58)</f>
        <v>9015.4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194</v>
      </c>
      <c r="C60" s="109"/>
      <c r="G60" s="4"/>
      <c r="H60" s="4"/>
      <c r="I60" s="4"/>
      <c r="J60" s="7" t="s">
        <v>264</v>
      </c>
      <c r="K60" s="8"/>
      <c r="L60" s="49">
        <f>MAX(0,C129-L36)</f>
        <v>9015.4008880566616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7" t="s">
        <v>201</v>
      </c>
      <c r="C61" s="18"/>
      <c r="G61" s="4"/>
      <c r="H61" s="4"/>
      <c r="I61" s="4"/>
      <c r="J61" s="80" t="s">
        <v>220</v>
      </c>
      <c r="K61" s="81"/>
      <c r="L61" s="82">
        <f>IF(M61&lt;0.02,0.02,M61)</f>
        <v>0.20411878257774627</v>
      </c>
      <c r="M61" s="4">
        <f>IF(L60&lt;L59,L60/L35,L59/L35)</f>
        <v>0.20411878257774627</v>
      </c>
    </row>
    <row r="62" spans="1:23" ht="14.65" thickBot="1" x14ac:dyDescent="0.5">
      <c r="A62" s="4"/>
      <c r="B62" s="26" t="s">
        <v>195</v>
      </c>
      <c r="C62" s="109"/>
      <c r="G62" s="4"/>
      <c r="H62" s="4"/>
      <c r="I62" s="4"/>
    </row>
    <row r="63" spans="1:23" ht="14.65" thickBot="1" x14ac:dyDescent="0.5">
      <c r="A63" s="4"/>
      <c r="B63" s="129" t="s">
        <v>263</v>
      </c>
      <c r="C63" s="117"/>
      <c r="G63" s="4"/>
      <c r="H63" s="4"/>
      <c r="I63" s="4"/>
      <c r="J63" s="74" t="s">
        <v>222</v>
      </c>
      <c r="K63" s="77"/>
      <c r="L63" s="78"/>
    </row>
    <row r="64" spans="1:23" ht="14.65" thickBot="1" x14ac:dyDescent="0.5">
      <c r="A64" s="4"/>
      <c r="B64" s="25" t="s">
        <v>193</v>
      </c>
      <c r="C64" s="109"/>
      <c r="G64" s="4"/>
      <c r="H64" s="4"/>
      <c r="I64" s="4"/>
      <c r="J64" s="7" t="s">
        <v>224</v>
      </c>
      <c r="L64" s="71">
        <v>4.7E-2</v>
      </c>
    </row>
    <row r="65" spans="1:12" ht="14.65" thickBot="1" x14ac:dyDescent="0.5">
      <c r="A65" s="4"/>
      <c r="B65" s="25" t="s">
        <v>194</v>
      </c>
      <c r="C65" s="109"/>
      <c r="G65" s="4"/>
      <c r="H65" s="4"/>
      <c r="I65" s="4"/>
      <c r="J65" s="7" t="s">
        <v>225</v>
      </c>
      <c r="L65" s="71">
        <v>1.1999999999999999E-3</v>
      </c>
    </row>
    <row r="66" spans="1:12" ht="14.65" thickBot="1" x14ac:dyDescent="0.5">
      <c r="A66" s="4"/>
      <c r="B66" s="27" t="s">
        <v>201</v>
      </c>
      <c r="C66" s="18"/>
      <c r="G66" s="4"/>
      <c r="H66" s="4"/>
      <c r="I66" s="4"/>
      <c r="J66" s="7" t="s">
        <v>230</v>
      </c>
      <c r="L66" s="71">
        <v>0.28299999999999997</v>
      </c>
    </row>
    <row r="67" spans="1:12" ht="14.65" thickBot="1" x14ac:dyDescent="0.5">
      <c r="A67" s="4"/>
      <c r="B67" s="27" t="s">
        <v>195</v>
      </c>
      <c r="C67" s="109"/>
      <c r="G67" s="4"/>
      <c r="H67" s="4"/>
      <c r="I67" s="4"/>
      <c r="J67" s="7" t="s">
        <v>229</v>
      </c>
      <c r="L67" s="40">
        <v>1.0999999999999999E-2</v>
      </c>
    </row>
    <row r="68" spans="1:12" ht="14.65" thickBot="1" x14ac:dyDescent="0.5">
      <c r="A68" s="30" t="s">
        <v>240</v>
      </c>
      <c r="B68" s="41" t="s">
        <v>237</v>
      </c>
      <c r="C68" s="69">
        <f>IF(B69=A68,1,IF(B69=A69,2,IF(B69=A70,3,0)))</f>
        <v>3</v>
      </c>
      <c r="G68" s="4"/>
      <c r="H68" s="4"/>
      <c r="I68" s="4"/>
      <c r="J68" s="80" t="s">
        <v>228</v>
      </c>
      <c r="K68" s="81"/>
      <c r="L68" s="83">
        <f>L64+L65-ROUND((L66*L67),4)</f>
        <v>4.5100000000000001E-2</v>
      </c>
    </row>
    <row r="69" spans="1:12" ht="42" customHeight="1" thickBot="1" x14ac:dyDescent="0.5">
      <c r="A69" s="30" t="s">
        <v>238</v>
      </c>
      <c r="B69" s="161" t="s">
        <v>239</v>
      </c>
      <c r="C69" s="162"/>
      <c r="G69" s="4"/>
      <c r="H69" s="4"/>
      <c r="I69" s="4"/>
    </row>
    <row r="70" spans="1:12" x14ac:dyDescent="0.45">
      <c r="A70" s="30" t="s">
        <v>239</v>
      </c>
      <c r="B70" s="4" t="s">
        <v>197</v>
      </c>
      <c r="C70" s="4">
        <f>IF(C49&gt;=75,ROUND((1150+1400)/C52,2),IF(C49&gt;=65,ROUND(1150/C52,2),0))</f>
        <v>0</v>
      </c>
      <c r="G70" s="4"/>
      <c r="H70" s="4"/>
      <c r="I70" s="4"/>
      <c r="J70" s="74" t="s">
        <v>223</v>
      </c>
      <c r="K70" s="77"/>
      <c r="L70" s="78"/>
    </row>
    <row r="71" spans="1:12" x14ac:dyDescent="0.45">
      <c r="A71" s="4"/>
      <c r="B71" s="4" t="s">
        <v>198</v>
      </c>
      <c r="C71" s="4">
        <f>IF(C54&gt;=75,ROUND((1150+1400)/C57,2),IF(C54&gt;=65,ROUND(1150/C57,2),0))</f>
        <v>0</v>
      </c>
      <c r="D71" s="4"/>
      <c r="E71" s="4"/>
      <c r="F71" s="4"/>
      <c r="G71" s="4"/>
      <c r="H71" s="4"/>
      <c r="I71" s="4"/>
      <c r="J71" s="7" t="s">
        <v>224</v>
      </c>
      <c r="L71" s="71">
        <v>4.7E-2</v>
      </c>
    </row>
    <row r="72" spans="1:12" x14ac:dyDescent="0.45">
      <c r="A72" s="4"/>
      <c r="B72" s="4" t="s">
        <v>199</v>
      </c>
      <c r="C72" s="4">
        <f>IF(C59&gt;=75,ROUND((1150+1400)/C62,2),IF(C59&gt;=65,ROUND(1150/C62,2),0))</f>
        <v>0</v>
      </c>
      <c r="D72" s="4"/>
      <c r="E72" s="4"/>
      <c r="F72" s="4"/>
      <c r="G72" s="4"/>
      <c r="H72" s="4"/>
      <c r="I72" s="4"/>
      <c r="J72" s="7" t="s">
        <v>225</v>
      </c>
      <c r="L72" s="71">
        <v>1.1999999999999999E-3</v>
      </c>
    </row>
    <row r="73" spans="1:12" x14ac:dyDescent="0.45">
      <c r="A73" s="4"/>
      <c r="B73" s="4" t="s">
        <v>200</v>
      </c>
      <c r="C73" s="4">
        <f>IF(C64&gt;=75,ROUND((1150+1400)/C67,2),IF(C64&gt;=65,ROUND(1150/C67,2),0))</f>
        <v>0</v>
      </c>
      <c r="D73" s="4"/>
      <c r="E73" s="4"/>
      <c r="F73" s="4"/>
      <c r="G73" s="4"/>
      <c r="H73" s="4"/>
      <c r="I73" s="4"/>
      <c r="J73" s="7" t="s">
        <v>226</v>
      </c>
      <c r="L73" s="71">
        <v>1.55E-2</v>
      </c>
    </row>
    <row r="74" spans="1:12" x14ac:dyDescent="0.45">
      <c r="B74" s="4" t="s">
        <v>202</v>
      </c>
      <c r="C74" s="4">
        <f>IF(C49&lt;65,0,IF(C50=A40,ROUND(12000/C52,2),IF(AND(C50=A41,C51="No"),ROUND(3000/C52,2),IF(AND(C50=A41,C51="Sí"),ROUND(6000/C52,2),""))))</f>
        <v>0</v>
      </c>
      <c r="D74" s="4"/>
      <c r="E74" s="4"/>
      <c r="F74" s="4"/>
      <c r="G74" s="4"/>
      <c r="H74" s="4"/>
      <c r="I74" s="4"/>
      <c r="J74" s="7" t="s">
        <v>227</v>
      </c>
      <c r="L74" s="71">
        <v>1E-3</v>
      </c>
    </row>
    <row r="75" spans="1:12" ht="14.65" thickBot="1" x14ac:dyDescent="0.5">
      <c r="B75" s="4" t="s">
        <v>203</v>
      </c>
      <c r="C75" s="4">
        <f>IF(C54&lt;65,0,IF(C55=A40,ROUND(12000/C57,2),IF(AND(C55=A41,C56="No"),ROUND(3000/C57,2),IF(AND(C55=A41,C56="Sí"),ROUND(6000/C57,2),""))))</f>
        <v>0</v>
      </c>
      <c r="D75" s="4"/>
      <c r="E75" s="4"/>
      <c r="F75" s="4"/>
      <c r="G75" s="4"/>
      <c r="H75" s="4"/>
      <c r="I75" s="4"/>
      <c r="J75" s="80" t="s">
        <v>228</v>
      </c>
      <c r="K75" s="81"/>
      <c r="L75" s="82">
        <f>SUM(L71:L74)</f>
        <v>6.4700000000000008E-2</v>
      </c>
    </row>
    <row r="76" spans="1:12" x14ac:dyDescent="0.45">
      <c r="B76" s="4" t="s">
        <v>204</v>
      </c>
      <c r="C76" s="4">
        <f>IF(C59&lt;65,0,IF(C60=A40,ROUND(12000/C62,2),IF(AND(C60=A41,C61="No"),ROUND(3000/C62,2),IF(AND(C60=A41,C61="Sí"),ROUND(6000/C62,2),""))))</f>
        <v>0</v>
      </c>
      <c r="D76" s="4"/>
      <c r="E76" s="4"/>
      <c r="F76" s="4"/>
      <c r="G76" s="4"/>
      <c r="H76" s="4"/>
      <c r="I76" s="4"/>
    </row>
    <row r="77" spans="1:12" x14ac:dyDescent="0.45">
      <c r="B77" s="4" t="s">
        <v>205</v>
      </c>
      <c r="C77" s="4">
        <f>IF(C64&lt;65,0,IF(C65=A40,ROUND(12000/C67,2),IF(AND(C65=A41,C66="No"),ROUND(3000/C67,2),IF(AND(C65=A41,C66="Sí"),ROUND(6000/C67,2),""))))</f>
        <v>0</v>
      </c>
      <c r="D77" s="4"/>
      <c r="E77" s="4"/>
      <c r="F77" s="4"/>
      <c r="G77" s="4"/>
      <c r="H77" s="4"/>
      <c r="I77" s="4"/>
    </row>
    <row r="78" spans="1:12" x14ac:dyDescent="0.45">
      <c r="B78" s="4"/>
      <c r="C78" s="4"/>
      <c r="I78" s="4"/>
    </row>
    <row r="79" spans="1:12" x14ac:dyDescent="0.45">
      <c r="B79" s="4" t="s">
        <v>242</v>
      </c>
      <c r="C79" s="4"/>
      <c r="I79" s="4"/>
    </row>
    <row r="80" spans="1:12" x14ac:dyDescent="0.45">
      <c r="B80" s="4" t="s">
        <v>243</v>
      </c>
      <c r="C80" s="33">
        <f>L48-C34</f>
        <v>38833.515913666655</v>
      </c>
      <c r="I80" s="4"/>
    </row>
    <row r="81" spans="2:9" x14ac:dyDescent="0.45">
      <c r="B81" s="4" t="s">
        <v>244</v>
      </c>
      <c r="C81" s="33">
        <f>C34</f>
        <v>0</v>
      </c>
      <c r="I81" s="4"/>
    </row>
    <row r="82" spans="2:9" x14ac:dyDescent="0.45">
      <c r="B82" s="4" t="s">
        <v>245</v>
      </c>
      <c r="C82" s="34">
        <f>MAX(B84:B89)</f>
        <v>10069.900888056662</v>
      </c>
      <c r="I82" s="4"/>
    </row>
    <row r="83" spans="2:9" x14ac:dyDescent="0.45">
      <c r="B83" s="4" t="s">
        <v>247</v>
      </c>
      <c r="C83" s="4"/>
      <c r="I83" s="4"/>
    </row>
    <row r="84" spans="2:9" x14ac:dyDescent="0.45">
      <c r="B84" s="4" t="str">
        <f>IF(C80&lt;12450,0+(C80)*0.19,"")</f>
        <v/>
      </c>
      <c r="C84" s="4"/>
      <c r="I84" s="4"/>
    </row>
    <row r="85" spans="2:9" x14ac:dyDescent="0.45">
      <c r="B85" s="4" t="str">
        <f>IF(AND(C80&gt;=12450,C80&lt;20200),2365.5+(C80-12450)*0.24,"")</f>
        <v/>
      </c>
      <c r="C85" s="4"/>
      <c r="I85" s="4"/>
    </row>
    <row r="86" spans="2:9" x14ac:dyDescent="0.45">
      <c r="B86" s="4" t="str">
        <f>IF(AND(C80&gt;=20200,C80&lt;35200),4225.5+(C80-20200)*0.3,"")</f>
        <v/>
      </c>
      <c r="C86" s="4"/>
      <c r="I86" s="4"/>
    </row>
    <row r="87" spans="2:9" x14ac:dyDescent="0.45">
      <c r="B87" s="4">
        <f>IF(AND(C80&gt;=35200,C80&lt;60000),8725.5+(C80-35200)*0.37,"")</f>
        <v>10069.900888056662</v>
      </c>
      <c r="C87" s="4"/>
      <c r="I87" s="4"/>
    </row>
    <row r="88" spans="2:9" x14ac:dyDescent="0.45">
      <c r="B88" s="4" t="str">
        <f>IF(AND(C80&gt;=60000,C80&lt;300000),17901.5+(C80-60000)*0.45,"")</f>
        <v/>
      </c>
      <c r="C88" s="4"/>
      <c r="I88" s="4"/>
    </row>
    <row r="89" spans="2:9" x14ac:dyDescent="0.45">
      <c r="B89" s="4" t="str">
        <f>IF(C80&gt;300000,125901.5+(C80-300000)*0.47,"")</f>
        <v/>
      </c>
      <c r="C89" s="4"/>
      <c r="I89" s="4"/>
    </row>
    <row r="90" spans="2:9" x14ac:dyDescent="0.45">
      <c r="B90" s="4" t="s">
        <v>246</v>
      </c>
      <c r="C90" s="34">
        <f>MAX(B91:B96)</f>
        <v>0</v>
      </c>
      <c r="I90" s="4"/>
    </row>
    <row r="91" spans="2:9" x14ac:dyDescent="0.45">
      <c r="B91" s="4">
        <f>IF(C81&lt;12450,0+(C81)*0.19,"")</f>
        <v>0</v>
      </c>
      <c r="C91" s="4"/>
      <c r="I91" s="4"/>
    </row>
    <row r="92" spans="2:9" x14ac:dyDescent="0.45">
      <c r="B92" s="4" t="str">
        <f>IF(AND(C81&gt;=12450,C81&lt;20200),2365.5+(C81-12450)*0.24,"")</f>
        <v/>
      </c>
      <c r="C92" s="4"/>
      <c r="I92" s="4"/>
    </row>
    <row r="93" spans="2:9" x14ac:dyDescent="0.45">
      <c r="B93" s="4" t="str">
        <f>IF(AND(C81&gt;=20200,C81&lt;35200),4225.5+(C81-20200)*0.3,"")</f>
        <v/>
      </c>
      <c r="C93" s="4"/>
      <c r="I93" s="4"/>
    </row>
    <row r="94" spans="2:9" x14ac:dyDescent="0.45">
      <c r="B94" s="4" t="str">
        <f>IF(AND(C81&gt;=35200,C81&lt;60000),8725.5+(C81-35200)*0.37,"")</f>
        <v/>
      </c>
      <c r="C94" s="4"/>
      <c r="I94" s="4"/>
    </row>
    <row r="95" spans="2:9" x14ac:dyDescent="0.45">
      <c r="B95" s="4" t="str">
        <f>IF(AND(C81&gt;=60000,C81&lt;300000),17901.5+(C81-60000)*0.45,"")</f>
        <v/>
      </c>
      <c r="C95" s="4"/>
    </row>
    <row r="96" spans="2:9" x14ac:dyDescent="0.45">
      <c r="B96" s="4" t="str">
        <f>IF(C81&gt;300000,125901.5+(C81-300000)*0.47,"")</f>
        <v/>
      </c>
      <c r="C96" s="4"/>
    </row>
    <row r="97" spans="2:3" x14ac:dyDescent="0.45">
      <c r="B97" s="4" t="s">
        <v>248</v>
      </c>
      <c r="C97" s="33">
        <f>IF(AND(C34&gt;0,L48-C34&gt;0),C90+C82,C107)</f>
        <v>10069.900888056662</v>
      </c>
    </row>
    <row r="98" spans="2:3" x14ac:dyDescent="0.45">
      <c r="B98" s="4" t="s">
        <v>249</v>
      </c>
      <c r="C98" s="34">
        <f>IF(AND(C34&gt;0,L48-C34&gt;0),L47+1980,L47)</f>
        <v>5550</v>
      </c>
    </row>
    <row r="99" spans="2:3" x14ac:dyDescent="0.45">
      <c r="B99" s="4" t="s">
        <v>250</v>
      </c>
      <c r="C99" s="34">
        <f>MAX(B100:B105)</f>
        <v>1054.5</v>
      </c>
    </row>
    <row r="100" spans="2:3" x14ac:dyDescent="0.45">
      <c r="B100" s="4">
        <f>IF(C98&lt;12450,0+(C98)*0.19,"")</f>
        <v>1054.5</v>
      </c>
      <c r="C100" s="4"/>
    </row>
    <row r="101" spans="2:3" x14ac:dyDescent="0.45">
      <c r="B101" s="4" t="str">
        <f>IF(AND(C98&gt;=12450,C98&lt;20200),2365.5+(C98-12450)*0.24,"")</f>
        <v/>
      </c>
      <c r="C101" s="4"/>
    </row>
    <row r="102" spans="2:3" x14ac:dyDescent="0.45">
      <c r="B102" s="4" t="str">
        <f>IF(AND(C98&gt;=20200,C98&lt;35200),4225.5+(C98-20200)*0.3,"")</f>
        <v/>
      </c>
      <c r="C102" s="4"/>
    </row>
    <row r="103" spans="2:3" x14ac:dyDescent="0.45">
      <c r="B103" s="4" t="str">
        <f>IF(AND(C98&gt;=35200,C98&lt;60000),8725.5+(C98-35200)*0.37,"")</f>
        <v/>
      </c>
      <c r="C103" s="4"/>
    </row>
    <row r="104" spans="2:3" x14ac:dyDescent="0.45">
      <c r="B104" s="4" t="str">
        <f>IF(AND(C98&gt;=60000,C98&lt;300000),17901.5+(C98-60000)*0.45,"")</f>
        <v/>
      </c>
      <c r="C104" s="4"/>
    </row>
    <row r="105" spans="2:3" x14ac:dyDescent="0.45">
      <c r="B105" s="4" t="str">
        <f>IF(C98&gt;300000,125901.5+(C98-300000)*0.47,"")</f>
        <v/>
      </c>
      <c r="C105" s="4"/>
    </row>
    <row r="106" spans="2:3" x14ac:dyDescent="0.45">
      <c r="B106" s="4" t="s">
        <v>251</v>
      </c>
      <c r="C106" s="35">
        <f>IF(C97&gt;C99,C97-C99,L59)</f>
        <v>9015.4008880566616</v>
      </c>
    </row>
    <row r="107" spans="2:3" x14ac:dyDescent="0.45">
      <c r="B107" s="4" t="s">
        <v>252</v>
      </c>
      <c r="C107" s="34">
        <f>MAX(B108:B114)</f>
        <v>10069.900888056662</v>
      </c>
    </row>
    <row r="108" spans="2:3" x14ac:dyDescent="0.45">
      <c r="B108" s="4" t="str">
        <f>IF(L48&lt;12450,0+(L48)*0.19,"")</f>
        <v/>
      </c>
      <c r="C108" s="4"/>
    </row>
    <row r="109" spans="2:3" x14ac:dyDescent="0.45">
      <c r="B109" s="4" t="str">
        <f>IF(AND(L48&gt;=12450,L48&lt;20200),2365.5+(L48-12450)*0.24,"")</f>
        <v/>
      </c>
      <c r="C109" s="4"/>
    </row>
    <row r="110" spans="2:3" x14ac:dyDescent="0.45">
      <c r="B110" s="4" t="str">
        <f>IF(AND(L48&gt;=20200,L48&lt;35200),4225.5+(L48-20200)*0.3,"")</f>
        <v/>
      </c>
      <c r="C110" s="4"/>
    </row>
    <row r="111" spans="2:3" x14ac:dyDescent="0.45">
      <c r="B111" s="4">
        <f>IF(AND(L48&gt;=35200,L48&lt;60000),8725.5+(L48-35200)*0.37,"")</f>
        <v>10069.900888056662</v>
      </c>
      <c r="C111" s="4"/>
    </row>
    <row r="112" spans="2:3" x14ac:dyDescent="0.45">
      <c r="B112" s="4" t="str">
        <f>IF(AND(L48&gt;=60000,L48&lt;300000),17901.5+(L48-60000)*0.45,"")</f>
        <v/>
      </c>
      <c r="C112" s="4"/>
    </row>
    <row r="113" spans="2:3" x14ac:dyDescent="0.45">
      <c r="B113" s="4" t="str">
        <f>IF(L48&gt;300000,125901.5+(L48-300000)*0.47,"")</f>
        <v/>
      </c>
      <c r="C113" s="4"/>
    </row>
    <row r="114" spans="2:3" x14ac:dyDescent="0.45">
      <c r="B114" s="4"/>
      <c r="C114" s="4"/>
    </row>
    <row r="115" spans="2:3" x14ac:dyDescent="0.45">
      <c r="B115" s="4"/>
      <c r="C115" s="4"/>
    </row>
    <row r="116" spans="2:3" x14ac:dyDescent="0.45">
      <c r="B116" s="4" t="s">
        <v>253</v>
      </c>
      <c r="C116" s="4"/>
    </row>
    <row r="117" spans="2:3" x14ac:dyDescent="0.45">
      <c r="B117" s="4" t="s">
        <v>255</v>
      </c>
      <c r="C117" s="4"/>
    </row>
    <row r="118" spans="2:3" x14ac:dyDescent="0.45">
      <c r="B118" s="4" t="s">
        <v>254</v>
      </c>
      <c r="C118" s="4"/>
    </row>
    <row r="119" spans="2:3" x14ac:dyDescent="0.45">
      <c r="B119" s="4">
        <f>IF(AND(L35&lt;=35200,C68=1,C35=1),(L35-(17270+C118+C119))*0.43,0)</f>
        <v>0</v>
      </c>
      <c r="C119" s="4"/>
    </row>
    <row r="120" spans="2:3" x14ac:dyDescent="0.45">
      <c r="B120" s="4">
        <f>IF(AND(L35&lt;=35200,C68=1,C35&gt;1),(L35-(18617+C118+C119))*0.43,0)</f>
        <v>0</v>
      </c>
      <c r="C120" s="4"/>
    </row>
    <row r="121" spans="2:3" x14ac:dyDescent="0.45">
      <c r="B121" s="4">
        <f>IF(AND(L35&lt;=35200,C68=2,C35=0),(L35-(16696+C118+C119))*0.43,0)</f>
        <v>0</v>
      </c>
      <c r="C121" s="4"/>
    </row>
    <row r="122" spans="2:3" x14ac:dyDescent="0.45">
      <c r="B122" s="4">
        <f>IF(AND(L35&lt;=35200,C68=2,C35=1),(L35-(17894+C118+C119))*0.43,0)</f>
        <v>0</v>
      </c>
      <c r="C122" s="4"/>
    </row>
    <row r="123" spans="2:3" x14ac:dyDescent="0.45">
      <c r="B123" s="4">
        <f>IF(AND(L35&lt;=35200,C68=2,C35&gt;1),(L35-(19241+C118+C119))*0.43,0)</f>
        <v>0</v>
      </c>
      <c r="C123" s="4"/>
    </row>
    <row r="124" spans="2:3" x14ac:dyDescent="0.45">
      <c r="B124" s="4">
        <f>IF(AND(L35&lt;=35200,C68=3,C35=0),(L35-(15000+C118+C119))*0.43,0)</f>
        <v>0</v>
      </c>
      <c r="C124" s="4"/>
    </row>
    <row r="125" spans="2:3" x14ac:dyDescent="0.45">
      <c r="B125" s="4">
        <f>IF(AND(L35&lt;=35200,C68=3,C35=1),(L35-(15599+C118+C119))*0.43,0)</f>
        <v>0</v>
      </c>
      <c r="C125" s="4"/>
    </row>
    <row r="126" spans="2:3" x14ac:dyDescent="0.45">
      <c r="B126" s="4">
        <f>IF(AND(L35&lt;=35200,C68=3,C35&gt;1),(L35-(16272+C118+C119))*0.43,0)</f>
        <v>0</v>
      </c>
      <c r="C126" s="4"/>
    </row>
    <row r="127" spans="2:3" x14ac:dyDescent="0.45">
      <c r="B127" s="4" t="s">
        <v>257</v>
      </c>
      <c r="C127" s="4" t="str">
        <f>IF(MAX(B119:B126)&gt;0,"Sí","No")</f>
        <v>No</v>
      </c>
    </row>
    <row r="128" spans="2:3" x14ac:dyDescent="0.45">
      <c r="B128" s="4" t="s">
        <v>258</v>
      </c>
      <c r="C128" s="4">
        <f>MAX(B119:B126)</f>
        <v>0</v>
      </c>
    </row>
    <row r="129" spans="2:3" x14ac:dyDescent="0.45">
      <c r="B129" s="4" t="s">
        <v>256</v>
      </c>
      <c r="C129" s="35">
        <f>IF(C127="No",C106,IF(C106&gt;C128,C128,C106))</f>
        <v>9015.4008880566616</v>
      </c>
    </row>
    <row r="130" spans="2:3" x14ac:dyDescent="0.45">
      <c r="B130" s="4"/>
      <c r="C130" s="4"/>
    </row>
    <row r="131" spans="2:3" x14ac:dyDescent="0.45">
      <c r="B131" s="4"/>
      <c r="C131" s="4"/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</sheetData>
  <mergeCells count="13">
    <mergeCell ref="J2:K2"/>
    <mergeCell ref="M4:M5"/>
    <mergeCell ref="B28:C28"/>
    <mergeCell ref="B69:C69"/>
    <mergeCell ref="B3:C3"/>
    <mergeCell ref="J3:K3"/>
    <mergeCell ref="J4:K5"/>
    <mergeCell ref="L4:L5"/>
    <mergeCell ref="B31:C31"/>
    <mergeCell ref="B41:B43"/>
    <mergeCell ref="C41:C43"/>
    <mergeCell ref="B44:B46"/>
    <mergeCell ref="C44:C46"/>
  </mergeCells>
  <dataValidations count="18">
    <dataValidation type="list" allowBlank="1" showInputMessage="1" showErrorMessage="1" sqref="B69" xr:uid="{00000000-0002-0000-0400-000000000000}">
      <formula1>$A$68:$A$70</formula1>
    </dataValidation>
    <dataValidation type="list" allowBlank="1" showInputMessage="1" showErrorMessage="1" sqref="C38 C60 C50 C55 C65" xr:uid="{00000000-0002-0000-0400-000001000000}">
      <formula1>$A$38:$A$42</formula1>
    </dataValidation>
    <dataValidation type="whole" allowBlank="1" showInputMessage="1" showErrorMessage="1" sqref="C44" xr:uid="{00000000-0002-0000-0400-000002000000}">
      <formula1>0</formula1>
      <formula2>C40</formula2>
    </dataValidation>
    <dataValidation type="whole" allowBlank="1" showInputMessage="1" showErrorMessage="1" sqref="C52 C57 C62 C67" xr:uid="{00000000-0002-0000-0400-000003000000}">
      <formula1>0</formula1>
      <formula2>20</formula2>
    </dataValidation>
    <dataValidation type="whole" allowBlank="1" showInputMessage="1" showErrorMessage="1" sqref="C49 C54 C59 C64" xr:uid="{00000000-0002-0000-0400-000004000000}">
      <formula1>18</formula1>
      <formula2>130</formula2>
    </dataValidation>
    <dataValidation type="whole" allowBlank="1" showInputMessage="1" showErrorMessage="1" sqref="C36 C40:C41" xr:uid="{00000000-0002-0000-0400-000005000000}">
      <formula1>0</formula1>
      <formula2>C35</formula2>
    </dataValidation>
    <dataValidation type="whole" allowBlank="1" showInputMessage="1" showErrorMessage="1" sqref="C35" xr:uid="{00000000-0002-0000-0400-000006000000}">
      <formula1>0</formula1>
      <formula2>100</formula2>
    </dataValidation>
    <dataValidation type="list" allowBlank="1" showInputMessage="1" showErrorMessage="1" sqref="C29" xr:uid="{00000000-0002-0000-0400-000007000000}">
      <formula1>$A$35:$A$37</formula1>
    </dataValidation>
    <dataValidation type="whole" allowBlank="1" showInputMessage="1" showErrorMessage="1" sqref="C27" xr:uid="{00000000-0002-0000-0400-000009000000}">
      <formula1>0</formula1>
      <formula2>10000</formula2>
    </dataValidation>
    <dataValidation type="whole" allowBlank="1" showInputMessage="1" showErrorMessage="1" sqref="C25" xr:uid="{00000000-0002-0000-0400-00000A000000}">
      <formula1>0</formula1>
      <formula2>30</formula2>
    </dataValidation>
    <dataValidation type="list" allowBlank="1" showInputMessage="1" showErrorMessage="1" sqref="C26 C47 C66 C61 C56 C51 C39 C37 C32 C15:C24" xr:uid="{00000000-0002-0000-0400-00000B000000}">
      <formula1>$H$13:$H$14</formula1>
    </dataValidation>
    <dataValidation type="list" allowBlank="1" showInputMessage="1" showErrorMessage="1" sqref="C14" xr:uid="{00000000-0002-0000-0400-00000C000000}">
      <formula1>$F$13:$F$18</formula1>
    </dataValidation>
    <dataValidation type="list" allowBlank="1" showInputMessage="1" showErrorMessage="1" sqref="C13" xr:uid="{00000000-0002-0000-0400-00000D000000}">
      <formula1>$D$13:$D$20</formula1>
    </dataValidation>
    <dataValidation type="decimal" allowBlank="1" showInputMessage="1" showErrorMessage="1" sqref="C4:C5" xr:uid="{00000000-0002-0000-0400-00000E000000}">
      <formula1>0</formula1>
      <formula2>100</formula2>
    </dataValidation>
    <dataValidation type="whole" allowBlank="1" showInputMessage="1" showErrorMessage="1" sqref="C12" xr:uid="{00000000-0002-0000-0400-00000F000000}">
      <formula1>0</formula1>
      <formula2>5</formula2>
    </dataValidation>
    <dataValidation type="whole" allowBlank="1" showInputMessage="1" showErrorMessage="1" sqref="C6:C10" xr:uid="{00000000-0002-0000-0400-000010000000}">
      <formula1>0</formula1>
      <formula2>14</formula2>
    </dataValidation>
    <dataValidation type="list" allowBlank="1" showInputMessage="1" showErrorMessage="1" sqref="C11" xr:uid="{00000000-0002-0000-0400-000011000000}">
      <formula1>$D$5:$D$6</formula1>
    </dataValidation>
    <dataValidation type="whole" allowBlank="1" showInputMessage="1" showErrorMessage="1" sqref="C30" xr:uid="{8C45E2EC-2496-4E8D-A5F8-38F003CC9468}">
      <formula1>1980</formula1>
      <formula2>2024</formula2>
    </dataValidation>
  </dataValidations>
  <hyperlinks>
    <hyperlink ref="B2" location="Inicio!A1" display="Ir a inicio" xr:uid="{00000000-0004-0000-04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37"/>
  <sheetViews>
    <sheetView showRowColHeaders="0" topLeftCell="A13" zoomScaleNormal="100" workbookViewId="0">
      <selection activeCell="L38" sqref="L38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L4-SUM(L27:L31)</f>
        <v>2108.2190662568637</v>
      </c>
      <c r="M3" s="73">
        <f>M4-SUM(M27:M31)</f>
        <v>1891.4850464588174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SUM(L6:L25)</f>
        <v>3023.81</v>
      </c>
      <c r="M4" s="157">
        <f>SUM(M6:M25)</f>
        <v>2492.62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/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ROUND((C4/100)*Datos!E4,2)</f>
        <v>1387.24</v>
      </c>
      <c r="M6" s="52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ROUND(($C$4/100)*Datos!E9,2)</f>
        <v>729.14</v>
      </c>
      <c r="M7" s="53">
        <f>L7</f>
        <v>729.14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ROUND(($C$4/100)*Datos!E13,2)</f>
        <v>907.43</v>
      </c>
      <c r="M8" s="53">
        <f>L8</f>
        <v>907.43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75" customHeight="1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75" customHeight="1" thickBot="1" x14ac:dyDescent="0.5">
      <c r="A11" s="4"/>
      <c r="B11" s="105" t="s">
        <v>278</v>
      </c>
      <c r="C11" s="69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IF(C13=D14,ROUND(C4*MAX(E27:E32,G27:G32)/100,2),0)</f>
        <v>0</v>
      </c>
      <c r="M11" s="53">
        <f t="shared" ref="M11:M25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75" customHeight="1" thickBot="1" x14ac:dyDescent="0.5">
      <c r="A12" s="4"/>
      <c r="B12" s="129" t="s">
        <v>123</v>
      </c>
      <c r="C12" s="18"/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IF(C13=D16,ROUND(C4*MAX(F27:F31,H27:H31)/100,2),0)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75" customHeight="1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IF(C13=D15,ROUND(C4*MAX(F27:F31,H27:H31)/100,2),0)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75" customHeight="1" thickBot="1" x14ac:dyDescent="0.5">
      <c r="A14" s="4"/>
      <c r="B14" s="129" t="s">
        <v>124</v>
      </c>
      <c r="C14" s="18"/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IF(C13=D17,ROUND(Datos!E77*'Profesores EOI'!C4/100,2),0)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75" customHeight="1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">
        <v>48</v>
      </c>
      <c r="K15" s="61"/>
      <c r="L15" s="53">
        <f>IF(C15="Sí",ROUND(Datos!E91*'Profesores EOI'!C4/100,2),0)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75" customHeight="1" thickBot="1" x14ac:dyDescent="0.5">
      <c r="A16" s="4"/>
      <c r="B16" s="105" t="s">
        <v>45</v>
      </c>
      <c r="C16" s="106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">
        <v>273</v>
      </c>
      <c r="K16" s="62"/>
      <c r="L16" s="53">
        <f>IF(D21&gt;0,ROUND(C4*MAX(E27:E33,G27:G33)*D21/100,2),0)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75" hidden="1" customHeight="1" thickBot="1" x14ac:dyDescent="0.45">
      <c r="A17" s="4"/>
      <c r="B17" s="3" t="s">
        <v>46</v>
      </c>
      <c r="C17" s="90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/>
      <c r="K17" s="61"/>
      <c r="L17" s="53"/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75" hidden="1" customHeight="1" thickBot="1" x14ac:dyDescent="0.45">
      <c r="A18" s="4"/>
      <c r="B18" s="3" t="s">
        <v>99</v>
      </c>
      <c r="C18" s="90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/>
      <c r="K18" s="61"/>
      <c r="L18" s="53"/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75" hidden="1" customHeight="1" thickBot="1" x14ac:dyDescent="0.45">
      <c r="A19" s="4"/>
      <c r="B19" s="3" t="s">
        <v>97</v>
      </c>
      <c r="C19" s="90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/>
      <c r="K19" s="61"/>
      <c r="L19" s="53"/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75" hidden="1" customHeight="1" thickBot="1" x14ac:dyDescent="0.45">
      <c r="A20" s="4"/>
      <c r="B20" s="3" t="s">
        <v>98</v>
      </c>
      <c r="C20" s="90" t="s">
        <v>138</v>
      </c>
      <c r="D20" s="4" t="s">
        <v>277</v>
      </c>
      <c r="E20" s="4"/>
      <c r="F20" s="4"/>
      <c r="G20" s="4"/>
      <c r="H20" s="4"/>
      <c r="I20" s="4"/>
      <c r="K20" s="61"/>
      <c r="L20" s="53">
        <f>IF(C15="Sí",ROUND(Datos!E91*'Profesores EOI'!C4/100,2),0)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75" hidden="1" customHeight="1" thickBot="1" x14ac:dyDescent="0.45">
      <c r="A21" s="4"/>
      <c r="B21" s="3" t="s">
        <v>49</v>
      </c>
      <c r="C21" s="90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IF(C22="Sí",ROUND(Datos!E97*'Profesores EOI'!C4/100,2),0)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75" hidden="1" customHeight="1" x14ac:dyDescent="0.45">
      <c r="A22" s="4"/>
      <c r="B22" s="3" t="s">
        <v>269</v>
      </c>
      <c r="C22" s="90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IF(C23="Sí",ROUND(C4*SUM(D23:D25)/100,2),0)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75" hidden="1" customHeight="1" x14ac:dyDescent="0.45">
      <c r="A23" s="4"/>
      <c r="B23" s="105" t="s">
        <v>144</v>
      </c>
      <c r="C23" s="106" t="s">
        <v>138</v>
      </c>
      <c r="D23" s="4">
        <f>IF(C23="No",0,Datos!E102)</f>
        <v>0</v>
      </c>
      <c r="E23" s="4"/>
      <c r="F23" s="4"/>
      <c r="G23" s="4"/>
      <c r="H23" s="4"/>
      <c r="I23" s="4"/>
      <c r="J23" s="36" t="s">
        <v>153</v>
      </c>
      <c r="K23" s="61"/>
      <c r="L23" s="53">
        <f>IF(C26="Sí",ROUND(C4*MIN(D27:D36)/100,2),0)</f>
        <v>0</v>
      </c>
      <c r="M23" s="53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75" hidden="1" customHeight="1" x14ac:dyDescent="0.45">
      <c r="A24" s="4"/>
      <c r="B24" s="107" t="s">
        <v>142</v>
      </c>
      <c r="C24" s="106" t="s">
        <v>138</v>
      </c>
      <c r="D24" s="4">
        <f>IF(AND(C23="Sí",C24="Sí"),Datos!E103,0)</f>
        <v>0</v>
      </c>
      <c r="E24" s="4"/>
      <c r="F24" s="4"/>
      <c r="G24" s="4"/>
      <c r="H24" s="4"/>
      <c r="I24" s="4"/>
      <c r="L24" s="53">
        <f>IF(D21&gt;0,ROUND(C4*MAX(E27:E33,G27:G33)*D21/100,2),0)</f>
        <v>0</v>
      </c>
      <c r="M24" s="53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75" hidden="1" customHeight="1" thickBot="1" x14ac:dyDescent="0.5">
      <c r="A25" s="4"/>
      <c r="B25" s="107" t="s">
        <v>143</v>
      </c>
      <c r="C25" s="106">
        <v>0</v>
      </c>
      <c r="D25" s="4">
        <f>IF(C23="Sí",C25*Datos!E104,0)</f>
        <v>0</v>
      </c>
      <c r="E25" s="4"/>
      <c r="F25" s="4"/>
      <c r="G25" s="4"/>
      <c r="H25" s="4"/>
      <c r="I25" s="4"/>
      <c r="J25" s="54" t="s">
        <v>283</v>
      </c>
      <c r="K25" s="63"/>
      <c r="L25" s="55">
        <f>IF(C21="Sí",ROUND(Datos!E92*C4/100,2),0)</f>
        <v>0</v>
      </c>
      <c r="M25" s="55">
        <f t="shared" si="1"/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75" customHeight="1" x14ac:dyDescent="0.45">
      <c r="A26" s="4"/>
      <c r="B26" s="105" t="s">
        <v>145</v>
      </c>
      <c r="C26" s="106" t="s">
        <v>138</v>
      </c>
      <c r="D26" s="4"/>
      <c r="E26" s="4" t="s">
        <v>125</v>
      </c>
      <c r="F26" s="4" t="s">
        <v>154</v>
      </c>
      <c r="G26" s="4" t="s">
        <v>280</v>
      </c>
      <c r="H26" s="4" t="s">
        <v>281</v>
      </c>
      <c r="I26" s="4"/>
      <c r="J26" s="38" t="s">
        <v>162</v>
      </c>
      <c r="K26" s="39"/>
      <c r="L26" s="41"/>
      <c r="M26" s="39"/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4.75" customHeight="1" x14ac:dyDescent="0.45">
      <c r="A27" s="4"/>
      <c r="B27" s="107" t="s">
        <v>146</v>
      </c>
      <c r="C27" s="106">
        <v>0</v>
      </c>
      <c r="D27" s="4">
        <f>IF($C$27&lt;=50,Datos!E107,"")</f>
        <v>17.649999999999999</v>
      </c>
      <c r="E27" s="4" t="str">
        <f>IF(AND(C11=D5,$D12=$D$14,$C$14=F13),Datos!E64,"")</f>
        <v/>
      </c>
      <c r="F27" s="4" t="str">
        <f>IF(AND(OR($C$13=$D$15,$C$13=$D$16),$C$14=F13,C11=D5),Datos!E68,"")</f>
        <v/>
      </c>
      <c r="G27" s="4" t="str">
        <f>IF(AND(C11=D6,$D12=$D$14,$C$14=F13),Datos!E32,"")</f>
        <v/>
      </c>
      <c r="H27" s="4" t="str">
        <f>IF(AND(OR($C$13=$D$15,$C$13=$D$16),$C$14=F13,C11=D6),Datos!E38,"")</f>
        <v/>
      </c>
      <c r="I27" s="4"/>
      <c r="J27" s="7" t="s">
        <v>231</v>
      </c>
      <c r="K27" s="40"/>
      <c r="L27" s="20">
        <v>51.68</v>
      </c>
      <c r="M27" s="49">
        <f>L27</f>
        <v>51.68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59" t="s">
        <v>233</v>
      </c>
      <c r="C28" s="160"/>
      <c r="D28" s="4">
        <f>IF($C$27&lt;=100,Datos!E108,"")</f>
        <v>35.32</v>
      </c>
      <c r="E28" s="4" t="str">
        <f>IF(AND(C11=D5,$D$12=$D$14,$C$14=F14),Datos!E65,"")</f>
        <v/>
      </c>
      <c r="F28" s="4" t="str">
        <f>IF(AND(OR($C$13=$D$15,$C$13=$D$16),$C$14=F14,C11=D5),Datos!E69,"")</f>
        <v/>
      </c>
      <c r="G28" s="4" t="str">
        <f>IF(AND(C11=D6,$D12=$D$14,$C$14=F14),Datos!E33,"")</f>
        <v/>
      </c>
      <c r="H28" s="4" t="str">
        <f>IF(AND(OR($C$13=$D$15,$C$13=$D$16),$C$14=F14,C11=D6),Datos!E39,"")</f>
        <v/>
      </c>
      <c r="I28" s="4"/>
      <c r="J28" s="7" t="s">
        <v>232</v>
      </c>
      <c r="K28" s="40"/>
      <c r="L28" s="20">
        <v>118.04</v>
      </c>
      <c r="M28" s="49">
        <f>L28</f>
        <v>118.04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29" t="s">
        <v>158</v>
      </c>
      <c r="C29" s="18" t="s">
        <v>161</v>
      </c>
      <c r="D29" s="4">
        <f>IF($C$27&lt;=150,Datos!E109,"")</f>
        <v>52.97</v>
      </c>
      <c r="E29" s="4" t="str">
        <f>IF(AND(C11=D5,$D$12=$D$14,$C$14=F15),Datos!E66,"")</f>
        <v/>
      </c>
      <c r="F29" s="4" t="str">
        <f>IF(AND(OR($C$13=$D$15,$C$13=$D$16),$C$14=F15,C11=D5),Datos!E70,"")</f>
        <v/>
      </c>
      <c r="G29" s="4" t="str">
        <f>IF(AND(C11=D6,$D12=$D$14,$C$14=F15),Datos!E34,"")</f>
        <v/>
      </c>
      <c r="H29" s="4" t="str">
        <f>IF(AND(OR($C$13=$D$15,$C$13=$D$16),$C$14=F15,C11=D6),Datos!E40,"")</f>
        <v/>
      </c>
      <c r="I29" s="4"/>
      <c r="J29" s="7" t="s">
        <v>163</v>
      </c>
      <c r="K29" s="40"/>
      <c r="L29" s="20">
        <f>IF(OR(C29=A36,AND(C29=A35,C30&gt;=2011)),(L4+(M4/6))*L68,0)</f>
        <v>0</v>
      </c>
      <c r="M29" s="9">
        <v>0</v>
      </c>
      <c r="P29" s="4"/>
      <c r="Q29" s="4"/>
      <c r="R29" s="4"/>
      <c r="S29" s="4"/>
      <c r="T29" s="4"/>
      <c r="U29" s="4"/>
      <c r="V29" s="4"/>
      <c r="W29" s="4"/>
    </row>
    <row r="30" spans="1:29" ht="14.65" thickBot="1" x14ac:dyDescent="0.5">
      <c r="A30" s="4"/>
      <c r="B30" s="129" t="str">
        <f>IF(C29=A35,"¿En qué año aprobaste la oposición?","")</f>
        <v/>
      </c>
      <c r="C30" s="18"/>
      <c r="D30" s="4">
        <f>IF($C$27&lt;=200,Datos!E110,"")</f>
        <v>70.64</v>
      </c>
      <c r="E30" s="4" t="str">
        <f>IF(AND(C11=D5,$D$12=$D$14,$C$14=F16),Datos!E67,"")</f>
        <v/>
      </c>
      <c r="F30" s="4" t="str">
        <f>IF(AND(OR($C$13=$D$15,$C$13=$D$16),$C$14=F16,C11=D5),Datos!E71,"")</f>
        <v/>
      </c>
      <c r="G30" s="4" t="str">
        <f>IF(AND(C11=D6,$D12=$D$14,$C$14=F13),Datos!E35,"")</f>
        <v/>
      </c>
      <c r="H30" s="4" t="str">
        <f>IF(AND(OR($C$13=$D$15,$C$13=$D$16),$C$14=F16,C11=D6),Datos!E41,"")</f>
        <v/>
      </c>
      <c r="I30" s="4"/>
      <c r="J30" s="7" t="s">
        <v>164</v>
      </c>
      <c r="K30" s="40"/>
      <c r="L30" s="46">
        <f>IF(C29=A37,L4*0.0647+M4*0.0647/6,0)</f>
        <v>222.51925933333331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71" t="s">
        <v>169</v>
      </c>
      <c r="C31" s="172"/>
      <c r="D31" s="4">
        <f>IF($C$27&lt;=250,Datos!E111,"")</f>
        <v>88.29</v>
      </c>
      <c r="E31" s="4" t="str">
        <f>IF(AND($C$13=$D$14,$C$15&lt;&gt;"",$C$15&lt;&gt;$G$13,$C$14=F17),Datos!E36,"")</f>
        <v/>
      </c>
      <c r="F31" s="4"/>
      <c r="G31" s="4" t="str">
        <f>IF(AND(C11=D6,$D12=$D$14,$C$14=F16),Datos!E36,"")</f>
        <v/>
      </c>
      <c r="H31" s="4" t="str">
        <f>IF(AND(OR($C$13=$D$15,$C$13=$D$16),$C$14=F17,C11=D6),Datos!E42,"")</f>
        <v/>
      </c>
      <c r="I31" s="4"/>
      <c r="J31" s="14" t="s">
        <v>165</v>
      </c>
      <c r="K31" s="48">
        <f>L61</f>
        <v>0.17307690443837509</v>
      </c>
      <c r="L31" s="47">
        <f>L4*K31</f>
        <v>523.35167440980297</v>
      </c>
      <c r="M31" s="50">
        <f>M4*K31</f>
        <v>431.41495354118251</v>
      </c>
      <c r="O31" s="4"/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29" t="s">
        <v>171</v>
      </c>
      <c r="C32" s="18" t="s">
        <v>138</v>
      </c>
      <c r="D32" s="4">
        <f>IF($C$27&lt;=300,Datos!E112,"")</f>
        <v>105.96</v>
      </c>
      <c r="E32" s="4" t="str">
        <f>IF(AND($C$13=$D$14,$C$15&lt;&gt;"",$C$15&lt;&gt;$G$13,$C$14=F18),Datos!E37,"")</f>
        <v/>
      </c>
      <c r="F32" s="4"/>
      <c r="G32" s="4" t="str">
        <f>IF(AND(C11=D6,$D12=$D$14,$C$14=F17),Datos!E37,"")</f>
        <v/>
      </c>
      <c r="H32" s="4"/>
      <c r="I32" s="4"/>
      <c r="O32" s="4" t="s">
        <v>176</v>
      </c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191</v>
      </c>
      <c r="C33" s="116">
        <v>0</v>
      </c>
      <c r="D33" s="4">
        <f>IF($C$27&lt;=350,Datos!E113,"")</f>
        <v>123.62</v>
      </c>
      <c r="E33" s="4"/>
      <c r="F33" s="4" t="str">
        <f>IF(AND(OR($C$13=$D$15,$C$13=$D$16),$C$15&lt;&gt;"",$C$15&lt;&gt;$G$13,$C$14=F19),Datos!E44,"")</f>
        <v/>
      </c>
      <c r="G33" s="4" t="str">
        <f>IF(AND(C11=D6,$D12=$D$14,$C$14=F18),Datos!E38,"")</f>
        <v/>
      </c>
      <c r="H33" s="4"/>
      <c r="I33" s="4"/>
      <c r="O33" s="4" t="s">
        <v>177</v>
      </c>
      <c r="P33" s="4">
        <v>2400</v>
      </c>
      <c r="Q33" s="4">
        <v>2400</v>
      </c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190</v>
      </c>
      <c r="C34" s="116">
        <v>0</v>
      </c>
      <c r="D34" s="4">
        <f>IF($C$27&lt;=450,Datos!E114,"")</f>
        <v>141.27000000000001</v>
      </c>
      <c r="E34" s="4"/>
      <c r="F34" s="4"/>
      <c r="G34" s="4"/>
      <c r="H34" s="4"/>
      <c r="I34" s="4"/>
      <c r="J34" s="74" t="s">
        <v>167</v>
      </c>
      <c r="K34" s="75"/>
      <c r="L34" s="76"/>
      <c r="O34" s="4" t="s">
        <v>178</v>
      </c>
      <c r="P34" s="4">
        <v>2700</v>
      </c>
      <c r="Q34" s="4">
        <f>Q33+P34</f>
        <v>5100</v>
      </c>
      <c r="R34" s="4"/>
      <c r="S34" s="4"/>
      <c r="T34" s="4"/>
      <c r="U34" s="4"/>
      <c r="V34" s="4"/>
      <c r="W34" s="4"/>
    </row>
    <row r="35" spans="1:23" ht="14.65" thickBot="1" x14ac:dyDescent="0.5">
      <c r="A35" s="4" t="s">
        <v>159</v>
      </c>
      <c r="B35" s="41" t="s">
        <v>174</v>
      </c>
      <c r="C35" s="18">
        <v>0</v>
      </c>
      <c r="D35" s="4">
        <f>IF($C$27&lt;=450,Datos!E115,"")</f>
        <v>158.94</v>
      </c>
      <c r="E35" s="4"/>
      <c r="F35" s="4"/>
      <c r="G35" s="4"/>
      <c r="H35" s="4"/>
      <c r="I35" s="4"/>
      <c r="J35" s="36" t="s">
        <v>168</v>
      </c>
      <c r="K35" s="37"/>
      <c r="L35" s="70">
        <f>L4*12+M4*2</f>
        <v>41270.959999999999</v>
      </c>
      <c r="O35" s="4" t="s">
        <v>179</v>
      </c>
      <c r="P35" s="4">
        <v>4000</v>
      </c>
      <c r="Q35" s="4">
        <f>Q34+P35</f>
        <v>9100</v>
      </c>
      <c r="R35" s="4"/>
      <c r="S35" s="4"/>
      <c r="T35" s="4"/>
      <c r="U35" s="4"/>
      <c r="V35" s="4"/>
      <c r="W35" s="4"/>
    </row>
    <row r="36" spans="1:23" ht="14.75" customHeight="1" thickBot="1" x14ac:dyDescent="0.5">
      <c r="A36" s="4" t="s">
        <v>160</v>
      </c>
      <c r="B36" s="129" t="s">
        <v>173</v>
      </c>
      <c r="C36" s="18">
        <v>0</v>
      </c>
      <c r="D36" s="4">
        <f>IF($C$27&lt;=1000050,Datos!E116,"")</f>
        <v>176.59</v>
      </c>
      <c r="E36" s="4"/>
      <c r="F36" s="4"/>
      <c r="G36" s="4"/>
      <c r="H36" s="4"/>
      <c r="I36" s="4"/>
      <c r="J36" s="7" t="s">
        <v>259</v>
      </c>
      <c r="K36" s="8"/>
      <c r="L36" s="9">
        <f>IF(AND(C47="Sí",L35&lt;33007.2),TRUNC(L35*0.02),0)</f>
        <v>0</v>
      </c>
      <c r="M36" s="22"/>
      <c r="N36" s="22"/>
      <c r="O36" s="4" t="s">
        <v>180</v>
      </c>
      <c r="P36" s="4">
        <v>4500</v>
      </c>
      <c r="Q36" s="4"/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161</v>
      </c>
      <c r="B37" s="131" t="s">
        <v>196</v>
      </c>
      <c r="C37" s="18" t="s">
        <v>138</v>
      </c>
      <c r="D37" s="4" t="str">
        <f>IF(B69=A68,"Sí","No")</f>
        <v>No</v>
      </c>
      <c r="E37" s="4"/>
      <c r="F37" s="4"/>
      <c r="G37" s="4"/>
      <c r="H37" s="4"/>
      <c r="I37" s="4"/>
      <c r="J37" s="7" t="s">
        <v>265</v>
      </c>
      <c r="K37" s="8"/>
      <c r="L37" s="9">
        <f>IF(L35-L38&lt;14582,7302,IF(L35-L38&lt;17673.52,7302-(1.75*(L35-L38-14852)),IF(L35-L38&lt;19747.5,2364.34-(1.14*(L35-L38-17673.52)),0)))</f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182</v>
      </c>
      <c r="B38" s="129" t="s">
        <v>181</v>
      </c>
      <c r="C38" s="18" t="s">
        <v>182</v>
      </c>
      <c r="D38" s="4"/>
      <c r="E38" s="4"/>
      <c r="F38" s="4"/>
      <c r="G38" s="4"/>
      <c r="H38" s="4"/>
      <c r="I38" s="4"/>
      <c r="J38" s="36" t="s">
        <v>236</v>
      </c>
      <c r="K38" s="37"/>
      <c r="L38" s="70">
        <f>SUM(L27:L30)*14+SUM(M27:M30)*2</f>
        <v>5830.7896306666653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184</v>
      </c>
      <c r="B39" s="131" t="s">
        <v>189</v>
      </c>
      <c r="C39" s="18" t="s">
        <v>138</v>
      </c>
      <c r="D39" s="4"/>
      <c r="E39" s="4"/>
      <c r="F39" s="4"/>
      <c r="G39" s="4"/>
      <c r="H39" s="4"/>
      <c r="I39" s="4"/>
      <c r="J39" s="36" t="s">
        <v>241</v>
      </c>
      <c r="K39" s="37"/>
      <c r="L39" s="70">
        <f>C33+2000+M40</f>
        <v>2000</v>
      </c>
      <c r="M39" s="4"/>
      <c r="N39" s="4"/>
      <c r="O39" s="22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183</v>
      </c>
      <c r="B40" s="129" t="s">
        <v>192</v>
      </c>
      <c r="C40" s="18">
        <v>0</v>
      </c>
      <c r="D40" s="4"/>
      <c r="E40" s="4"/>
      <c r="F40" s="4"/>
      <c r="G40" s="4"/>
      <c r="H40" s="4"/>
      <c r="I40" s="4"/>
      <c r="J40" s="36" t="s">
        <v>170</v>
      </c>
      <c r="K40" s="37"/>
      <c r="L40" s="70">
        <f>IF(C32="Sí",1150+5550,5550)</f>
        <v>5550</v>
      </c>
      <c r="M40" s="4">
        <f>IF(AND(C38=A41,C39="No"),3500,IF(OR(C38=A40,C38=A41),7750,0))</f>
        <v>0</v>
      </c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x14ac:dyDescent="0.45">
      <c r="A41" s="4" t="s">
        <v>185</v>
      </c>
      <c r="B41" s="173" t="s">
        <v>207</v>
      </c>
      <c r="C41" s="175">
        <v>0</v>
      </c>
      <c r="D41" s="4"/>
      <c r="E41" s="4"/>
      <c r="F41" s="4"/>
      <c r="G41" s="4"/>
      <c r="H41" s="4"/>
      <c r="I41" s="4"/>
      <c r="J41" s="36" t="s">
        <v>172</v>
      </c>
      <c r="K41" s="37"/>
      <c r="L41" s="70">
        <f>SUM(C70:C73)</f>
        <v>0</v>
      </c>
      <c r="M41" s="4"/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/>
      <c r="B42" s="173"/>
      <c r="C42" s="176"/>
      <c r="D42" s="4"/>
      <c r="E42" s="4"/>
      <c r="F42" s="4"/>
      <c r="G42" s="4"/>
      <c r="H42" s="4"/>
      <c r="I42" s="4"/>
      <c r="J42" s="36" t="s">
        <v>175</v>
      </c>
      <c r="K42" s="37"/>
      <c r="L42" s="70">
        <f>IF(C37="no",M48/2+1400*C36,M48+2800*C36)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thickBot="1" x14ac:dyDescent="0.5">
      <c r="A43" s="4"/>
      <c r="B43" s="174"/>
      <c r="C43" s="177"/>
      <c r="D43" s="4"/>
      <c r="E43" s="4"/>
      <c r="F43" s="4"/>
      <c r="G43" s="4"/>
      <c r="H43" s="4"/>
      <c r="I43" s="4"/>
      <c r="J43" s="36" t="s">
        <v>186</v>
      </c>
      <c r="K43" s="37"/>
      <c r="L43" s="70">
        <f>IF(C38=A40,9000,IF(C38=A41,3000,0))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x14ac:dyDescent="0.45">
      <c r="A44" s="4"/>
      <c r="B44" s="178" t="s">
        <v>207</v>
      </c>
      <c r="C44" s="175">
        <v>0</v>
      </c>
      <c r="D44" s="4"/>
      <c r="E44" s="4"/>
      <c r="F44" s="4"/>
      <c r="G44" s="4"/>
      <c r="H44" s="4"/>
      <c r="I44" s="4"/>
      <c r="J44" s="36" t="s">
        <v>187</v>
      </c>
      <c r="K44" s="37"/>
      <c r="L44" s="70">
        <f>SUM(C74:C77)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3"/>
      <c r="C45" s="176"/>
      <c r="D45" s="4"/>
      <c r="E45" s="4"/>
      <c r="F45" s="4"/>
      <c r="G45" s="4"/>
      <c r="H45" s="4"/>
      <c r="I45" s="4"/>
      <c r="J45" s="36" t="s">
        <v>188</v>
      </c>
      <c r="K45" s="37"/>
      <c r="L45" s="70">
        <f>IF(C37="Sí",M50,M50/2)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thickBot="1" x14ac:dyDescent="0.5">
      <c r="A46" s="4"/>
      <c r="B46" s="174"/>
      <c r="C46" s="177"/>
      <c r="D46" s="4"/>
      <c r="E46" s="4"/>
      <c r="F46" s="4"/>
      <c r="G46" s="4"/>
      <c r="H46" s="4"/>
      <c r="I46" s="4"/>
      <c r="J46" s="36" t="s">
        <v>206</v>
      </c>
      <c r="K46" s="37"/>
      <c r="L46" s="70">
        <f>IF(OR(C39="Sí",C38=A40),3000,0)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22"/>
      <c r="B47" s="129" t="s">
        <v>267</v>
      </c>
      <c r="C47" s="18" t="s">
        <v>138</v>
      </c>
      <c r="D47" s="4"/>
      <c r="E47" s="4"/>
      <c r="F47" s="4"/>
      <c r="G47" s="4"/>
      <c r="H47" s="4"/>
      <c r="I47" s="4"/>
      <c r="J47" s="7" t="s">
        <v>208</v>
      </c>
      <c r="K47" s="8"/>
      <c r="L47" s="9">
        <f>SUM(L40:L46)</f>
        <v>5550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260</v>
      </c>
      <c r="C48" s="117"/>
      <c r="D48" s="4"/>
      <c r="E48" s="4"/>
      <c r="F48" s="4"/>
      <c r="G48" s="4"/>
      <c r="H48" s="4"/>
      <c r="I48" s="4"/>
      <c r="J48" s="7" t="s">
        <v>209</v>
      </c>
      <c r="K48" s="8"/>
      <c r="L48" s="9">
        <f>MAX(0,L35-L38-L39-L37)</f>
        <v>33440.170369333333</v>
      </c>
      <c r="M48" s="4">
        <f>IF(C35=1,Q33,IF(C35=2,Q34,IF(C35=3,Q35,IF(C35&lt;1,0,Q35+4500*(C35-3)))))</f>
        <v>0</v>
      </c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25" t="s">
        <v>193</v>
      </c>
      <c r="C49" s="109"/>
      <c r="D49" s="4"/>
      <c r="E49" s="4"/>
      <c r="F49" s="4"/>
      <c r="G49" s="4"/>
      <c r="H49" s="4"/>
      <c r="I49" s="4"/>
      <c r="J49" s="7" t="s">
        <v>210</v>
      </c>
      <c r="K49" s="8"/>
      <c r="L49" s="9">
        <f>IF(L47&gt;12450,0,MAX(0,MIN(12450,L48)-L47))</f>
        <v>6900</v>
      </c>
      <c r="M49" s="4"/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194</v>
      </c>
      <c r="C50" s="109"/>
      <c r="D50" s="4"/>
      <c r="E50" s="4"/>
      <c r="F50" s="4"/>
      <c r="G50" s="4"/>
      <c r="H50" s="4"/>
      <c r="I50" s="4"/>
      <c r="J50" s="7" t="s">
        <v>211</v>
      </c>
      <c r="K50" s="8"/>
      <c r="L50" s="9">
        <f>IF(IF(L47&gt;20200,0,IF(L48&gt;20200,MIN(20200-L47,20200-12450),MIN(L48-L47,L48-12450)))&lt;0,0,IF(L47&gt;20200,0,IF(L48&gt;20200,MIN(20200-L47,20200-12450),MIN(L48-L47,L48-12450))))</f>
        <v>7750</v>
      </c>
      <c r="M50" s="4">
        <f>C40*12000+C41*6000+C44*3000</f>
        <v>0</v>
      </c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201</v>
      </c>
      <c r="C51" s="18"/>
      <c r="D51" s="4"/>
      <c r="E51" s="4"/>
      <c r="F51" s="4"/>
      <c r="G51" s="4"/>
      <c r="H51" s="4"/>
      <c r="I51" s="4"/>
      <c r="J51" s="7" t="s">
        <v>212</v>
      </c>
      <c r="K51" s="8"/>
      <c r="L51" s="9">
        <f>IF(IF(L47&gt;35200,0,IF(L48&gt;35200,MIN(35200-L47,35200-20200),MIN(L48-L47,L48-20200)))&lt;0,0,IF(L47&gt;35200,0,IF(L48&gt;35200,MIN(35200-L47,35200-20200),MIN(L48-L47,L48-20200))))</f>
        <v>13240.170369333333</v>
      </c>
      <c r="M51" s="4"/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4"/>
      <c r="B52" s="26" t="s">
        <v>195</v>
      </c>
      <c r="C52" s="109"/>
      <c r="D52" s="4"/>
      <c r="E52" s="4"/>
      <c r="F52" s="4"/>
      <c r="G52" s="4"/>
      <c r="H52" s="4"/>
      <c r="I52" s="4"/>
      <c r="J52" s="7" t="s">
        <v>213</v>
      </c>
      <c r="K52" s="8"/>
      <c r="L52" s="9">
        <f>IF(IF(L47&gt;60000,0,IF(L48&gt;60000,MIN(35200-L47,60000-35200),MIN(L48-L47,L48-35200)))&lt;0,0,IF(L47&gt;60000,0,IF(L48&gt;60000,MIN(35200-L47,60000-35200),MIN(L48-L47,L48-35200))))</f>
        <v>0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129" t="s">
        <v>261</v>
      </c>
      <c r="C53" s="117"/>
      <c r="H53" s="4"/>
      <c r="I53" s="4"/>
      <c r="J53" s="7" t="s">
        <v>214</v>
      </c>
      <c r="K53" s="8"/>
      <c r="L53" s="9">
        <f>IF(IF(L47&gt;30000,0,IF(L48&gt;300000,MIN(60000-L47,300000-60000),MIN(L48-L47,L48-60000)))&lt;0,0,IF(L47&gt;30000,0,IF(L48&gt;300000,MIN(60000-L47,300000-60000),MIN(L48-L47,L48-60000))))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25" t="s">
        <v>193</v>
      </c>
      <c r="C54" s="109"/>
      <c r="H54" s="4"/>
      <c r="I54" s="4"/>
      <c r="J54" s="7" t="s">
        <v>215</v>
      </c>
      <c r="K54" s="8"/>
      <c r="L54" s="9">
        <f>ROUND(L49*0.19,2)</f>
        <v>1311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194</v>
      </c>
      <c r="C55" s="109"/>
      <c r="G55" s="4"/>
      <c r="H55" s="4"/>
      <c r="I55" s="4"/>
      <c r="J55" s="7" t="s">
        <v>216</v>
      </c>
      <c r="K55" s="8"/>
      <c r="L55" s="9">
        <f>ROUND(L50*0.24,2)</f>
        <v>1860</v>
      </c>
      <c r="M55" s="4"/>
      <c r="N55" s="4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201</v>
      </c>
      <c r="C56" s="18"/>
      <c r="G56" s="4"/>
      <c r="H56" s="4"/>
      <c r="I56" s="4"/>
      <c r="J56" s="7" t="s">
        <v>217</v>
      </c>
      <c r="K56" s="8"/>
      <c r="L56" s="9">
        <f>ROUND(L51*0.3,2)</f>
        <v>3972.05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6" t="s">
        <v>195</v>
      </c>
      <c r="C57" s="109"/>
      <c r="G57" s="4"/>
      <c r="H57" s="4"/>
      <c r="I57" s="4"/>
      <c r="J57" s="7" t="s">
        <v>218</v>
      </c>
      <c r="K57" s="8"/>
      <c r="L57" s="9">
        <f>ROUND(L52*0.37,2)</f>
        <v>0</v>
      </c>
      <c r="P57" s="4"/>
      <c r="Q57" s="4"/>
      <c r="R57" s="4"/>
      <c r="S57" s="4"/>
      <c r="T57" s="4"/>
      <c r="U57" s="4"/>
      <c r="V57" s="4"/>
      <c r="W57" s="4"/>
    </row>
    <row r="58" spans="1:23" ht="14.65" thickBot="1" x14ac:dyDescent="0.5">
      <c r="A58" s="4"/>
      <c r="B58" s="129" t="s">
        <v>262</v>
      </c>
      <c r="C58" s="117"/>
      <c r="G58" s="4"/>
      <c r="H58" s="4"/>
      <c r="I58" s="4"/>
      <c r="J58" s="7" t="s">
        <v>219</v>
      </c>
      <c r="K58" s="8"/>
      <c r="L58" s="9">
        <f>ROUND(L53*0.45,2)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25" t="s">
        <v>193</v>
      </c>
      <c r="C59" s="109"/>
      <c r="G59" s="4"/>
      <c r="H59" s="4"/>
      <c r="I59" s="4"/>
      <c r="J59" s="7" t="s">
        <v>266</v>
      </c>
      <c r="K59" s="8"/>
      <c r="L59" s="49">
        <f>SUM(L54:L58)</f>
        <v>7143.05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194</v>
      </c>
      <c r="C60" s="109"/>
      <c r="G60" s="4"/>
      <c r="H60" s="4"/>
      <c r="I60" s="4"/>
      <c r="J60" s="7" t="s">
        <v>264</v>
      </c>
      <c r="K60" s="8"/>
      <c r="L60" s="49">
        <f>MAX(0,C129-L36)</f>
        <v>7143.0511107999992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7" t="s">
        <v>201</v>
      </c>
      <c r="C61" s="18"/>
      <c r="G61" s="4"/>
      <c r="H61" s="4"/>
      <c r="I61" s="4"/>
      <c r="J61" s="80" t="s">
        <v>220</v>
      </c>
      <c r="K61" s="81"/>
      <c r="L61" s="82">
        <f>IF(M61&lt;0.02,0.02,M61)</f>
        <v>0.17307690443837509</v>
      </c>
      <c r="M61" s="4">
        <f>IF(L60&lt;L59,L60/L35,L59/L35)</f>
        <v>0.17307690443837509</v>
      </c>
    </row>
    <row r="62" spans="1:23" ht="14.65" thickBot="1" x14ac:dyDescent="0.5">
      <c r="A62" s="4"/>
      <c r="B62" s="26" t="s">
        <v>195</v>
      </c>
      <c r="C62" s="109"/>
      <c r="G62" s="4"/>
      <c r="H62" s="4"/>
      <c r="I62" s="4"/>
    </row>
    <row r="63" spans="1:23" ht="14.65" thickBot="1" x14ac:dyDescent="0.5">
      <c r="A63" s="4"/>
      <c r="B63" s="129" t="s">
        <v>263</v>
      </c>
      <c r="C63" s="117"/>
      <c r="G63" s="4"/>
      <c r="H63" s="4"/>
      <c r="I63" s="4"/>
      <c r="J63" s="74" t="s">
        <v>222</v>
      </c>
      <c r="K63" s="77"/>
      <c r="L63" s="78"/>
    </row>
    <row r="64" spans="1:23" ht="14.65" thickBot="1" x14ac:dyDescent="0.5">
      <c r="A64" s="4"/>
      <c r="B64" s="25" t="s">
        <v>193</v>
      </c>
      <c r="C64" s="109"/>
      <c r="G64" s="4"/>
      <c r="H64" s="4"/>
      <c r="I64" s="4"/>
      <c r="J64" s="7" t="s">
        <v>224</v>
      </c>
      <c r="L64" s="71">
        <v>4.7E-2</v>
      </c>
    </row>
    <row r="65" spans="1:12" ht="14.65" thickBot="1" x14ac:dyDescent="0.5">
      <c r="A65" s="4"/>
      <c r="B65" s="25" t="s">
        <v>194</v>
      </c>
      <c r="C65" s="109"/>
      <c r="G65" s="4"/>
      <c r="H65" s="4"/>
      <c r="I65" s="4"/>
      <c r="J65" s="7" t="s">
        <v>225</v>
      </c>
      <c r="L65" s="71">
        <v>1.1999999999999999E-3</v>
      </c>
    </row>
    <row r="66" spans="1:12" ht="14.65" thickBot="1" x14ac:dyDescent="0.5">
      <c r="A66" s="4"/>
      <c r="B66" s="27" t="s">
        <v>201</v>
      </c>
      <c r="C66" s="18"/>
      <c r="G66" s="4"/>
      <c r="H66" s="4"/>
      <c r="I66" s="4"/>
      <c r="J66" s="7" t="s">
        <v>230</v>
      </c>
      <c r="L66" s="71">
        <v>0.28299999999999997</v>
      </c>
    </row>
    <row r="67" spans="1:12" ht="14.65" thickBot="1" x14ac:dyDescent="0.5">
      <c r="A67" s="4"/>
      <c r="B67" s="27" t="s">
        <v>195</v>
      </c>
      <c r="C67" s="109"/>
      <c r="G67" s="4"/>
      <c r="H67" s="4"/>
      <c r="I67" s="4"/>
      <c r="J67" s="7" t="s">
        <v>229</v>
      </c>
      <c r="L67" s="40">
        <v>1.0999999999999999E-2</v>
      </c>
    </row>
    <row r="68" spans="1:12" ht="14.65" thickBot="1" x14ac:dyDescent="0.5">
      <c r="A68" s="30" t="s">
        <v>240</v>
      </c>
      <c r="B68" s="41" t="s">
        <v>237</v>
      </c>
      <c r="C68" s="69">
        <f>IF(B69=A68,1,IF(B69=A69,2,IF(B69=A70,3,0)))</f>
        <v>3</v>
      </c>
      <c r="G68" s="4"/>
      <c r="H68" s="4"/>
      <c r="I68" s="4"/>
      <c r="J68" s="80" t="s">
        <v>228</v>
      </c>
      <c r="K68" s="81"/>
      <c r="L68" s="83">
        <f>L64+L65-ROUND((L66*L67),4)</f>
        <v>4.5100000000000001E-2</v>
      </c>
    </row>
    <row r="69" spans="1:12" ht="42" customHeight="1" thickBot="1" x14ac:dyDescent="0.5">
      <c r="A69" s="30" t="s">
        <v>238</v>
      </c>
      <c r="B69" s="161" t="s">
        <v>239</v>
      </c>
      <c r="C69" s="162"/>
      <c r="G69" s="4"/>
      <c r="H69" s="4"/>
      <c r="I69" s="4"/>
    </row>
    <row r="70" spans="1:12" x14ac:dyDescent="0.45">
      <c r="A70" s="30" t="s">
        <v>239</v>
      </c>
      <c r="B70" s="4" t="s">
        <v>197</v>
      </c>
      <c r="C70" s="4">
        <f>IF(C49&gt;=75,ROUND((1150+1400)/C52,2),IF(C49&gt;=65,ROUND(1150/C52,2),0))</f>
        <v>0</v>
      </c>
      <c r="G70" s="4"/>
      <c r="H70" s="4"/>
      <c r="I70" s="4"/>
      <c r="J70" s="74" t="s">
        <v>223</v>
      </c>
      <c r="K70" s="77"/>
      <c r="L70" s="78"/>
    </row>
    <row r="71" spans="1:12" x14ac:dyDescent="0.45">
      <c r="A71" s="4"/>
      <c r="B71" s="4" t="s">
        <v>198</v>
      </c>
      <c r="C71" s="4">
        <f>IF(C54&gt;=75,ROUND((1150+1400)/C57,2),IF(C54&gt;=65,ROUND(1150/C57,2),0))</f>
        <v>0</v>
      </c>
      <c r="D71" s="4"/>
      <c r="E71" s="4"/>
      <c r="F71" s="4"/>
      <c r="G71" s="4"/>
      <c r="H71" s="4"/>
      <c r="I71" s="4"/>
      <c r="J71" s="7" t="s">
        <v>224</v>
      </c>
      <c r="L71" s="71">
        <v>4.7E-2</v>
      </c>
    </row>
    <row r="72" spans="1:12" x14ac:dyDescent="0.45">
      <c r="A72" s="4"/>
      <c r="B72" s="4" t="s">
        <v>199</v>
      </c>
      <c r="C72" s="4">
        <f>IF(C59&gt;=75,ROUND((1150+1400)/C62,2),IF(C59&gt;=65,ROUND(1150/C62,2),0))</f>
        <v>0</v>
      </c>
      <c r="D72" s="4"/>
      <c r="E72" s="4"/>
      <c r="F72" s="4"/>
      <c r="G72" s="4"/>
      <c r="H72" s="4"/>
      <c r="I72" s="4"/>
      <c r="J72" s="7" t="s">
        <v>225</v>
      </c>
      <c r="L72" s="71">
        <v>1.1999999999999999E-3</v>
      </c>
    </row>
    <row r="73" spans="1:12" x14ac:dyDescent="0.45">
      <c r="A73" s="4"/>
      <c r="B73" s="4" t="s">
        <v>200</v>
      </c>
      <c r="C73" s="4">
        <f>IF(C64&gt;=75,ROUND((1150+1400)/C67,2),IF(C64&gt;=65,ROUND(1150/C67,2),0))</f>
        <v>0</v>
      </c>
      <c r="D73" s="4"/>
      <c r="E73" s="4"/>
      <c r="F73" s="4"/>
      <c r="G73" s="4"/>
      <c r="H73" s="4"/>
      <c r="I73" s="4"/>
      <c r="J73" s="7" t="s">
        <v>226</v>
      </c>
      <c r="L73" s="71">
        <v>1.55E-2</v>
      </c>
    </row>
    <row r="74" spans="1:12" x14ac:dyDescent="0.45">
      <c r="B74" s="4" t="s">
        <v>202</v>
      </c>
      <c r="C74" s="4">
        <f>IF(C49&lt;65,0,IF(C50=A40,ROUND(12000/C52,2),IF(AND(C50=A41,C51="No"),ROUND(3000/C52,2),IF(AND(C50=A41,C51="Sí"),ROUND(6000/C52,2),""))))</f>
        <v>0</v>
      </c>
      <c r="D74" s="4"/>
      <c r="E74" s="4"/>
      <c r="F74" s="4"/>
      <c r="G74" s="4"/>
      <c r="H74" s="4"/>
      <c r="I74" s="4"/>
      <c r="J74" s="7" t="s">
        <v>227</v>
      </c>
      <c r="L74" s="71">
        <v>1E-3</v>
      </c>
    </row>
    <row r="75" spans="1:12" ht="14.65" thickBot="1" x14ac:dyDescent="0.5">
      <c r="B75" s="4" t="s">
        <v>203</v>
      </c>
      <c r="C75" s="4">
        <f>IF(C54&lt;65,0,IF(C55=A40,ROUND(12000/C57,2),IF(AND(C55=A41,C56="No"),ROUND(3000/C57,2),IF(AND(C55=A41,C56="Sí"),ROUND(6000/C57,2),""))))</f>
        <v>0</v>
      </c>
      <c r="D75" s="4"/>
      <c r="E75" s="4"/>
      <c r="F75" s="4"/>
      <c r="G75" s="4"/>
      <c r="H75" s="4"/>
      <c r="I75" s="4"/>
      <c r="J75" s="80" t="s">
        <v>228</v>
      </c>
      <c r="K75" s="81"/>
      <c r="L75" s="82">
        <f>SUM(L71:L74)</f>
        <v>6.4700000000000008E-2</v>
      </c>
    </row>
    <row r="76" spans="1:12" x14ac:dyDescent="0.45">
      <c r="B76" s="4" t="s">
        <v>204</v>
      </c>
      <c r="C76" s="4">
        <f>IF(C59&lt;65,0,IF(C60=A40,ROUND(12000/C62,2),IF(AND(C60=A41,C61="No"),ROUND(3000/C62,2),IF(AND(C60=A41,C61="Sí"),ROUND(6000/C62,2),""))))</f>
        <v>0</v>
      </c>
      <c r="D76" s="4"/>
      <c r="E76" s="4"/>
      <c r="F76" s="4"/>
      <c r="G76" s="4"/>
      <c r="H76" s="4"/>
      <c r="I76" s="4"/>
    </row>
    <row r="77" spans="1:12" x14ac:dyDescent="0.45">
      <c r="B77" s="4" t="s">
        <v>205</v>
      </c>
      <c r="C77" s="4">
        <f>IF(C64&lt;65,0,IF(C65=A40,ROUND(12000/C67,2),IF(AND(C65=A41,C66="No"),ROUND(3000/C67,2),IF(AND(C65=A41,C66="Sí"),ROUND(6000/C67,2),""))))</f>
        <v>0</v>
      </c>
      <c r="D77" s="4"/>
      <c r="E77" s="4"/>
      <c r="F77" s="4"/>
      <c r="G77" s="4"/>
      <c r="H77" s="4"/>
      <c r="I77" s="4"/>
    </row>
    <row r="78" spans="1:12" x14ac:dyDescent="0.45">
      <c r="B78" s="4"/>
      <c r="C78" s="4"/>
      <c r="I78" s="4"/>
    </row>
    <row r="79" spans="1:12" x14ac:dyDescent="0.45">
      <c r="B79" s="4" t="s">
        <v>242</v>
      </c>
      <c r="C79" s="4"/>
      <c r="I79" s="4"/>
    </row>
    <row r="80" spans="1:12" x14ac:dyDescent="0.45">
      <c r="B80" s="4" t="s">
        <v>243</v>
      </c>
      <c r="C80" s="33">
        <f>L48-C34</f>
        <v>33440.170369333333</v>
      </c>
      <c r="I80" s="4"/>
    </row>
    <row r="81" spans="2:9" x14ac:dyDescent="0.45">
      <c r="B81" s="4" t="s">
        <v>244</v>
      </c>
      <c r="C81" s="33">
        <f>C34</f>
        <v>0</v>
      </c>
      <c r="I81" s="4"/>
    </row>
    <row r="82" spans="2:9" x14ac:dyDescent="0.45">
      <c r="B82" s="4" t="s">
        <v>245</v>
      </c>
      <c r="C82" s="34">
        <f>MAX(B84:B89)</f>
        <v>8197.5511107999992</v>
      </c>
      <c r="I82" s="4"/>
    </row>
    <row r="83" spans="2:9" x14ac:dyDescent="0.45">
      <c r="B83" s="4" t="s">
        <v>247</v>
      </c>
      <c r="C83" s="4"/>
      <c r="I83" s="4"/>
    </row>
    <row r="84" spans="2:9" x14ac:dyDescent="0.45">
      <c r="B84" s="4" t="str">
        <f>IF(C80&lt;12450,0+(C80)*0.19,"")</f>
        <v/>
      </c>
      <c r="C84" s="4"/>
      <c r="I84" s="4"/>
    </row>
    <row r="85" spans="2:9" x14ac:dyDescent="0.45">
      <c r="B85" s="4" t="str">
        <f>IF(AND(C80&gt;=12450,C80&lt;20200),2365.5+(C80-12450)*0.24,"")</f>
        <v/>
      </c>
      <c r="C85" s="4"/>
      <c r="I85" s="4"/>
    </row>
    <row r="86" spans="2:9" x14ac:dyDescent="0.45">
      <c r="B86" s="4">
        <f>IF(AND(C80&gt;=20200,C80&lt;35200),4225.5+(C80-20200)*0.3,"")</f>
        <v>8197.5511107999992</v>
      </c>
      <c r="C86" s="4"/>
      <c r="I86" s="4"/>
    </row>
    <row r="87" spans="2:9" x14ac:dyDescent="0.45">
      <c r="B87" s="4" t="str">
        <f>IF(AND(C80&gt;=35200,C80&lt;60000),8725.5+(C80-35200)*0.37,"")</f>
        <v/>
      </c>
      <c r="C87" s="4"/>
      <c r="I87" s="4"/>
    </row>
    <row r="88" spans="2:9" x14ac:dyDescent="0.45">
      <c r="B88" s="4" t="str">
        <f>IF(AND(C80&gt;=60000,C80&lt;300000),17901.5+(C80-60000)*0.45,"")</f>
        <v/>
      </c>
      <c r="C88" s="4"/>
      <c r="I88" s="4"/>
    </row>
    <row r="89" spans="2:9" x14ac:dyDescent="0.45">
      <c r="B89" s="4" t="str">
        <f>IF(C80&gt;300000,125901.5+(C80-300000)*0.47,"")</f>
        <v/>
      </c>
      <c r="C89" s="4"/>
      <c r="I89" s="4"/>
    </row>
    <row r="90" spans="2:9" x14ac:dyDescent="0.45">
      <c r="B90" s="4" t="s">
        <v>246</v>
      </c>
      <c r="C90" s="34">
        <f>MAX(B91:B96)</f>
        <v>0</v>
      </c>
      <c r="I90" s="4"/>
    </row>
    <row r="91" spans="2:9" x14ac:dyDescent="0.45">
      <c r="B91" s="4">
        <f>IF(C81&lt;12450,0+(C81)*0.19,"")</f>
        <v>0</v>
      </c>
      <c r="C91" s="4"/>
      <c r="I91" s="4"/>
    </row>
    <row r="92" spans="2:9" x14ac:dyDescent="0.45">
      <c r="B92" s="4" t="str">
        <f>IF(AND(C81&gt;=12450,C81&lt;20200),2365.5+(C81-12450)*0.24,"")</f>
        <v/>
      </c>
      <c r="C92" s="4"/>
      <c r="I92" s="4"/>
    </row>
    <row r="93" spans="2:9" x14ac:dyDescent="0.45">
      <c r="B93" s="4" t="str">
        <f>IF(AND(C81&gt;=20200,C81&lt;35200),4225.5+(C81-20200)*0.3,"")</f>
        <v/>
      </c>
      <c r="C93" s="4"/>
      <c r="I93" s="4"/>
    </row>
    <row r="94" spans="2:9" x14ac:dyDescent="0.45">
      <c r="B94" s="4" t="str">
        <f>IF(AND(C81&gt;=35200,C81&lt;60000),8725.5+(C81-35200)*0.37,"")</f>
        <v/>
      </c>
      <c r="C94" s="4"/>
      <c r="I94" s="4"/>
    </row>
    <row r="95" spans="2:9" x14ac:dyDescent="0.45">
      <c r="B95" s="4" t="str">
        <f>IF(AND(C81&gt;=60000,C81&lt;300000),17901.5+(C81-60000)*0.45,"")</f>
        <v/>
      </c>
      <c r="C95" s="4"/>
    </row>
    <row r="96" spans="2:9" x14ac:dyDescent="0.45">
      <c r="B96" s="4" t="str">
        <f>IF(C81&gt;300000,125901.5+(C81-300000)*0.47,"")</f>
        <v/>
      </c>
      <c r="C96" s="4"/>
    </row>
    <row r="97" spans="2:3" x14ac:dyDescent="0.45">
      <c r="B97" s="4" t="s">
        <v>248</v>
      </c>
      <c r="C97" s="33">
        <f>IF(AND(C34&gt;0,L48-C34&gt;0),C90+C82,C107)</f>
        <v>8197.5511107999992</v>
      </c>
    </row>
    <row r="98" spans="2:3" x14ac:dyDescent="0.45">
      <c r="B98" s="4" t="s">
        <v>249</v>
      </c>
      <c r="C98" s="34">
        <f>IF(AND(C34&gt;0,L48-C34&gt;0),L47+1980,L47)</f>
        <v>5550</v>
      </c>
    </row>
    <row r="99" spans="2:3" x14ac:dyDescent="0.45">
      <c r="B99" s="4" t="s">
        <v>250</v>
      </c>
      <c r="C99" s="34">
        <f>MAX(B100:B105)</f>
        <v>1054.5</v>
      </c>
    </row>
    <row r="100" spans="2:3" x14ac:dyDescent="0.45">
      <c r="B100" s="4">
        <f>IF(C98&lt;12450,0+(C98)*0.19,"")</f>
        <v>1054.5</v>
      </c>
      <c r="C100" s="4"/>
    </row>
    <row r="101" spans="2:3" x14ac:dyDescent="0.45">
      <c r="B101" s="4" t="str">
        <f>IF(AND(C98&gt;=12450,C98&lt;20200),2365.5+(C98-12450)*0.24,"")</f>
        <v/>
      </c>
      <c r="C101" s="4"/>
    </row>
    <row r="102" spans="2:3" x14ac:dyDescent="0.45">
      <c r="B102" s="4" t="str">
        <f>IF(AND(C98&gt;=20200,C98&lt;35200),4225.5+(C98-20200)*0.3,"")</f>
        <v/>
      </c>
      <c r="C102" s="4"/>
    </row>
    <row r="103" spans="2:3" x14ac:dyDescent="0.45">
      <c r="B103" s="4" t="str">
        <f>IF(AND(C98&gt;=35200,C98&lt;60000),8725.5+(C98-35200)*0.37,"")</f>
        <v/>
      </c>
      <c r="C103" s="4"/>
    </row>
    <row r="104" spans="2:3" x14ac:dyDescent="0.45">
      <c r="B104" s="4" t="str">
        <f>IF(AND(C98&gt;=60000,C98&lt;300000),17901.5+(C98-60000)*0.45,"")</f>
        <v/>
      </c>
      <c r="C104" s="4"/>
    </row>
    <row r="105" spans="2:3" x14ac:dyDescent="0.45">
      <c r="B105" s="4" t="str">
        <f>IF(C98&gt;300000,125901.5+(C98-300000)*0.47,"")</f>
        <v/>
      </c>
      <c r="C105" s="4"/>
    </row>
    <row r="106" spans="2:3" x14ac:dyDescent="0.45">
      <c r="B106" s="4" t="s">
        <v>251</v>
      </c>
      <c r="C106" s="35">
        <f>IF(C97&gt;C99,C97-C99,L59)</f>
        <v>7143.0511107999992</v>
      </c>
    </row>
    <row r="107" spans="2:3" x14ac:dyDescent="0.45">
      <c r="B107" s="4" t="s">
        <v>252</v>
      </c>
      <c r="C107" s="34">
        <f>MAX(B108:B114)</f>
        <v>8197.5511107999992</v>
      </c>
    </row>
    <row r="108" spans="2:3" x14ac:dyDescent="0.45">
      <c r="B108" s="4" t="str">
        <f>IF(L48&lt;12450,0+(L48)*0.19,"")</f>
        <v/>
      </c>
      <c r="C108" s="4"/>
    </row>
    <row r="109" spans="2:3" x14ac:dyDescent="0.45">
      <c r="B109" s="4" t="str">
        <f>IF(AND(L48&gt;=12450,L48&lt;20200),2365.5+(L48-12450)*0.24,"")</f>
        <v/>
      </c>
      <c r="C109" s="4"/>
    </row>
    <row r="110" spans="2:3" x14ac:dyDescent="0.45">
      <c r="B110" s="4">
        <f>IF(AND(L48&gt;=20200,L48&lt;35200),4225.5+(L48-20200)*0.3,"")</f>
        <v>8197.5511107999992</v>
      </c>
      <c r="C110" s="4"/>
    </row>
    <row r="111" spans="2:3" x14ac:dyDescent="0.45">
      <c r="B111" s="4" t="str">
        <f>IF(AND(L48&gt;=35200,L48&lt;60000),8725.5+(L48-35200)*0.37,"")</f>
        <v/>
      </c>
      <c r="C111" s="4"/>
    </row>
    <row r="112" spans="2:3" x14ac:dyDescent="0.45">
      <c r="B112" s="4" t="str">
        <f>IF(AND(L48&gt;=60000,L48&lt;300000),17901.5+(L48-60000)*0.45,"")</f>
        <v/>
      </c>
      <c r="C112" s="4"/>
    </row>
    <row r="113" spans="2:3" x14ac:dyDescent="0.45">
      <c r="B113" s="4" t="str">
        <f>IF(L48&gt;300000,125901.5+(L48-300000)*0.47,"")</f>
        <v/>
      </c>
      <c r="C113" s="4"/>
    </row>
    <row r="114" spans="2:3" x14ac:dyDescent="0.45">
      <c r="B114" s="4"/>
      <c r="C114" s="4"/>
    </row>
    <row r="115" spans="2:3" x14ac:dyDescent="0.45">
      <c r="B115" s="4"/>
      <c r="C115" s="4"/>
    </row>
    <row r="116" spans="2:3" x14ac:dyDescent="0.45">
      <c r="B116" s="4" t="s">
        <v>253</v>
      </c>
      <c r="C116" s="4"/>
    </row>
    <row r="117" spans="2:3" x14ac:dyDescent="0.45">
      <c r="B117" s="4" t="s">
        <v>255</v>
      </c>
      <c r="C117" s="4"/>
    </row>
    <row r="118" spans="2:3" x14ac:dyDescent="0.45">
      <c r="B118" s="4" t="s">
        <v>254</v>
      </c>
      <c r="C118" s="4"/>
    </row>
    <row r="119" spans="2:3" x14ac:dyDescent="0.45">
      <c r="B119" s="4">
        <f>IF(AND(L35&lt;=35200,C68=1,C35=1),(L35-(17270+C118+C119))*0.43,0)</f>
        <v>0</v>
      </c>
      <c r="C119" s="4"/>
    </row>
    <row r="120" spans="2:3" x14ac:dyDescent="0.45">
      <c r="B120" s="4">
        <f>IF(AND(L35&lt;=35200,C68=1,C35&gt;1),(L35-(18617+C118+C119))*0.43,0)</f>
        <v>0</v>
      </c>
      <c r="C120" s="4"/>
    </row>
    <row r="121" spans="2:3" x14ac:dyDescent="0.45">
      <c r="B121" s="4">
        <f>IF(AND(L35&lt;=35200,C68=2,C35=0),(L35-(16696+C118+C119))*0.43,0)</f>
        <v>0</v>
      </c>
      <c r="C121" s="4"/>
    </row>
    <row r="122" spans="2:3" x14ac:dyDescent="0.45">
      <c r="B122" s="4">
        <f>IF(AND(L35&lt;=35200,C68=2,C35=1),(L35-(17894+C118+C119))*0.43,0)</f>
        <v>0</v>
      </c>
      <c r="C122" s="4"/>
    </row>
    <row r="123" spans="2:3" x14ac:dyDescent="0.45">
      <c r="B123" s="4">
        <f>IF(AND(L35&lt;=35200,C68=2,C35&gt;1),(L35-(19241+C118+C119))*0.43,0)</f>
        <v>0</v>
      </c>
      <c r="C123" s="4"/>
    </row>
    <row r="124" spans="2:3" x14ac:dyDescent="0.45">
      <c r="B124" s="4">
        <f>IF(AND(L35&lt;=35200,C68=3,C35=0),(L35-(15000+C118+C119))*0.43,0)</f>
        <v>0</v>
      </c>
      <c r="C124" s="4"/>
    </row>
    <row r="125" spans="2:3" x14ac:dyDescent="0.45">
      <c r="B125" s="4">
        <f>IF(AND(L35&lt;=35200,C68=3,C35=1),(L35-(15599+C118+C119))*0.43,0)</f>
        <v>0</v>
      </c>
      <c r="C125" s="4"/>
    </row>
    <row r="126" spans="2:3" x14ac:dyDescent="0.45">
      <c r="B126" s="4">
        <f>IF(AND(L35&lt;=35200,C68=3,C35&gt;1),(L35-(16272+C118+C119))*0.43,0)</f>
        <v>0</v>
      </c>
      <c r="C126" s="4"/>
    </row>
    <row r="127" spans="2:3" x14ac:dyDescent="0.45">
      <c r="B127" s="4" t="s">
        <v>257</v>
      </c>
      <c r="C127" s="4" t="str">
        <f>IF(MAX(B119:B126)&gt;0,"Sí","No")</f>
        <v>No</v>
      </c>
    </row>
    <row r="128" spans="2:3" x14ac:dyDescent="0.45">
      <c r="B128" s="4" t="s">
        <v>258</v>
      </c>
      <c r="C128" s="4">
        <f>MAX(B119:B126)</f>
        <v>0</v>
      </c>
    </row>
    <row r="129" spans="2:3" x14ac:dyDescent="0.45">
      <c r="B129" s="4" t="s">
        <v>256</v>
      </c>
      <c r="C129" s="35">
        <f>IF(C127="No",C106,IF(C106&gt;C128,C128,C106))</f>
        <v>7143.0511107999992</v>
      </c>
    </row>
    <row r="130" spans="2:3" x14ac:dyDescent="0.45">
      <c r="B130" s="4"/>
      <c r="C130" s="4"/>
    </row>
    <row r="131" spans="2:3" x14ac:dyDescent="0.45">
      <c r="B131" s="4"/>
      <c r="C131" s="4"/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</sheetData>
  <mergeCells count="13">
    <mergeCell ref="J2:K2"/>
    <mergeCell ref="M4:M5"/>
    <mergeCell ref="B28:C28"/>
    <mergeCell ref="B69:C69"/>
    <mergeCell ref="B3:C3"/>
    <mergeCell ref="J3:K3"/>
    <mergeCell ref="J4:K5"/>
    <mergeCell ref="L4:L5"/>
    <mergeCell ref="B31:C31"/>
    <mergeCell ref="B41:B43"/>
    <mergeCell ref="C41:C43"/>
    <mergeCell ref="B44:B46"/>
    <mergeCell ref="C44:C46"/>
  </mergeCells>
  <dataValidations count="18">
    <dataValidation type="list" allowBlank="1" showInputMessage="1" showErrorMessage="1" sqref="C11" xr:uid="{00000000-0002-0000-0500-000000000000}">
      <formula1>$D$5:$D$6</formula1>
    </dataValidation>
    <dataValidation type="whole" allowBlank="1" showInputMessage="1" showErrorMessage="1" sqref="C6:C10" xr:uid="{00000000-0002-0000-0500-000001000000}">
      <formula1>0</formula1>
      <formula2>14</formula2>
    </dataValidation>
    <dataValidation type="whole" allowBlank="1" showInputMessage="1" showErrorMessage="1" sqref="C12" xr:uid="{00000000-0002-0000-0500-000002000000}">
      <formula1>0</formula1>
      <formula2>5</formula2>
    </dataValidation>
    <dataValidation type="decimal" allowBlank="1" showInputMessage="1" showErrorMessage="1" sqref="C4:C5" xr:uid="{00000000-0002-0000-0500-000003000000}">
      <formula1>0</formula1>
      <formula2>100</formula2>
    </dataValidation>
    <dataValidation type="list" allowBlank="1" showInputMessage="1" showErrorMessage="1" sqref="C13" xr:uid="{00000000-0002-0000-0500-000004000000}">
      <formula1>$D$13:$D$20</formula1>
    </dataValidation>
    <dataValidation type="list" allowBlank="1" showInputMessage="1" showErrorMessage="1" sqref="C14" xr:uid="{00000000-0002-0000-0500-000005000000}">
      <formula1>$F$13:$F$18</formula1>
    </dataValidation>
    <dataValidation type="list" allowBlank="1" showInputMessage="1" showErrorMessage="1" sqref="C26 C47 C66 C61 C56 C51 C39 C37 C32 C15:C24" xr:uid="{00000000-0002-0000-0500-000006000000}">
      <formula1>$H$13:$H$14</formula1>
    </dataValidation>
    <dataValidation type="whole" allowBlank="1" showInputMessage="1" showErrorMessage="1" sqref="C25" xr:uid="{00000000-0002-0000-0500-000007000000}">
      <formula1>0</formula1>
      <formula2>30</formula2>
    </dataValidation>
    <dataValidation type="whole" allowBlank="1" showInputMessage="1" showErrorMessage="1" sqref="C27" xr:uid="{00000000-0002-0000-0500-000008000000}">
      <formula1>0</formula1>
      <formula2>10000</formula2>
    </dataValidation>
    <dataValidation type="list" allowBlank="1" showInputMessage="1" showErrorMessage="1" sqref="C29" xr:uid="{00000000-0002-0000-0500-00000A000000}">
      <formula1>$A$35:$A$37</formula1>
    </dataValidation>
    <dataValidation type="whole" allowBlank="1" showInputMessage="1" showErrorMessage="1" sqref="C35" xr:uid="{00000000-0002-0000-0500-00000B000000}">
      <formula1>0</formula1>
      <formula2>100</formula2>
    </dataValidation>
    <dataValidation type="whole" allowBlank="1" showInputMessage="1" showErrorMessage="1" sqref="C36 C40:C41" xr:uid="{00000000-0002-0000-0500-00000C000000}">
      <formula1>0</formula1>
      <formula2>C35</formula2>
    </dataValidation>
    <dataValidation type="whole" allowBlank="1" showInputMessage="1" showErrorMessage="1" sqref="C49 C54 C59 C64" xr:uid="{00000000-0002-0000-0500-00000D000000}">
      <formula1>18</formula1>
      <formula2>130</formula2>
    </dataValidation>
    <dataValidation type="whole" allowBlank="1" showInputMessage="1" showErrorMessage="1" sqref="C52 C57 C62 C67" xr:uid="{00000000-0002-0000-0500-00000E000000}">
      <formula1>0</formula1>
      <formula2>20</formula2>
    </dataValidation>
    <dataValidation type="whole" allowBlank="1" showInputMessage="1" showErrorMessage="1" sqref="C44" xr:uid="{00000000-0002-0000-0500-00000F000000}">
      <formula1>0</formula1>
      <formula2>C40</formula2>
    </dataValidation>
    <dataValidation type="list" allowBlank="1" showInputMessage="1" showErrorMessage="1" sqref="C38 C60 C50 C55 C65" xr:uid="{00000000-0002-0000-0500-000010000000}">
      <formula1>$A$38:$A$42</formula1>
    </dataValidation>
    <dataValidation type="list" allowBlank="1" showInputMessage="1" showErrorMessage="1" sqref="B69" xr:uid="{00000000-0002-0000-0500-000011000000}">
      <formula1>$A$68:$A$70</formula1>
    </dataValidation>
    <dataValidation type="whole" allowBlank="1" showInputMessage="1" showErrorMessage="1" sqref="C30" xr:uid="{DDBB2749-FF93-4AF1-83EB-EA72FB550BFA}">
      <formula1>1980</formula1>
      <formula2>2024</formula2>
    </dataValidation>
  </dataValidations>
  <hyperlinks>
    <hyperlink ref="B2" location="Inicio!A1" display="Ir a inicio" xr:uid="{00000000-0004-0000-05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4"/>
  <sheetViews>
    <sheetView showRowColHeaders="0" zoomScale="115" zoomScaleNormal="115" workbookViewId="0">
      <selection activeCell="C14" sqref="C14"/>
    </sheetView>
  </sheetViews>
  <sheetFormatPr baseColWidth="10" defaultRowHeight="14.25" x14ac:dyDescent="0.45"/>
  <cols>
    <col min="1" max="1" width="3.6640625" style="2" customWidth="1"/>
    <col min="2" max="2" width="53.3984375" style="2" customWidth="1"/>
    <col min="3" max="3" width="21.59765625" style="2" customWidth="1"/>
    <col min="4" max="4" width="18.86328125" style="2" customWidth="1"/>
    <col min="5" max="5" width="44.46484375" style="2" customWidth="1"/>
    <col min="6" max="16384" width="10.6640625" style="2"/>
  </cols>
  <sheetData>
    <row r="1" spans="2:5" s="1" customFormat="1" ht="25.15" customHeight="1" x14ac:dyDescent="0.45">
      <c r="E1" s="123" t="s">
        <v>287</v>
      </c>
    </row>
    <row r="2" spans="2:5" s="124" customFormat="1" ht="115.15" customHeight="1" x14ac:dyDescent="0.75">
      <c r="B2" s="124" t="s">
        <v>364</v>
      </c>
      <c r="C2" s="125"/>
      <c r="D2" s="125"/>
      <c r="E2" s="125"/>
    </row>
    <row r="3" spans="2:5" x14ac:dyDescent="0.45">
      <c r="B3" s="66" t="s">
        <v>17</v>
      </c>
      <c r="C3" s="66" t="s">
        <v>284</v>
      </c>
      <c r="D3" s="66" t="s">
        <v>285</v>
      </c>
      <c r="E3" s="66" t="s">
        <v>359</v>
      </c>
    </row>
    <row r="4" spans="2:5" ht="15.75" x14ac:dyDescent="0.45">
      <c r="B4" s="8" t="s">
        <v>0</v>
      </c>
      <c r="C4" s="8" t="s">
        <v>3</v>
      </c>
      <c r="D4" s="8"/>
      <c r="E4" s="147">
        <v>1387.24</v>
      </c>
    </row>
    <row r="5" spans="2:5" ht="15.75" x14ac:dyDescent="0.45">
      <c r="B5" s="65" t="s">
        <v>12</v>
      </c>
      <c r="C5" s="65" t="s">
        <v>3</v>
      </c>
      <c r="D5" s="65"/>
      <c r="E5" s="148">
        <v>856.05</v>
      </c>
    </row>
    <row r="6" spans="2:5" ht="15.75" x14ac:dyDescent="0.45">
      <c r="B6" s="8" t="s">
        <v>0</v>
      </c>
      <c r="C6" s="8" t="s">
        <v>6</v>
      </c>
      <c r="D6" s="8"/>
      <c r="E6" s="147">
        <v>1199.52</v>
      </c>
    </row>
    <row r="7" spans="2:5" ht="15.75" x14ac:dyDescent="0.45">
      <c r="B7" s="65" t="s">
        <v>12</v>
      </c>
      <c r="C7" s="65" t="s">
        <v>6</v>
      </c>
      <c r="D7" s="65"/>
      <c r="E7" s="148">
        <v>874.83</v>
      </c>
    </row>
    <row r="8" spans="2:5" ht="15.75" x14ac:dyDescent="0.45">
      <c r="B8" s="8" t="s">
        <v>1</v>
      </c>
      <c r="C8" s="8" t="s">
        <v>3</v>
      </c>
      <c r="D8" s="8" t="s">
        <v>5</v>
      </c>
      <c r="E8" s="147">
        <v>873.38</v>
      </c>
    </row>
    <row r="9" spans="2:5" ht="15.75" x14ac:dyDescent="0.45">
      <c r="B9" s="65" t="s">
        <v>1</v>
      </c>
      <c r="C9" s="65" t="s">
        <v>3</v>
      </c>
      <c r="D9" s="65" t="s">
        <v>4</v>
      </c>
      <c r="E9" s="148">
        <v>729.14</v>
      </c>
    </row>
    <row r="10" spans="2:5" ht="15.75" x14ac:dyDescent="0.45">
      <c r="B10" s="8" t="s">
        <v>1</v>
      </c>
      <c r="C10" s="8" t="s">
        <v>6</v>
      </c>
      <c r="D10" s="8" t="s">
        <v>86</v>
      </c>
      <c r="E10" s="147">
        <v>592.11</v>
      </c>
    </row>
    <row r="11" spans="2:5" ht="15.75" x14ac:dyDescent="0.45">
      <c r="B11" s="65" t="s">
        <v>87</v>
      </c>
      <c r="C11" s="65" t="s">
        <v>3</v>
      </c>
      <c r="D11" s="65" t="s">
        <v>5</v>
      </c>
      <c r="E11" s="148">
        <v>1005.16</v>
      </c>
    </row>
    <row r="12" spans="2:5" ht="15.75" x14ac:dyDescent="0.45">
      <c r="B12" s="8" t="s">
        <v>88</v>
      </c>
      <c r="C12" s="8" t="s">
        <v>3</v>
      </c>
      <c r="D12" s="8" t="s">
        <v>5</v>
      </c>
      <c r="E12" s="147">
        <v>970.08</v>
      </c>
    </row>
    <row r="13" spans="2:5" ht="15.75" x14ac:dyDescent="0.45">
      <c r="B13" s="65" t="s">
        <v>2</v>
      </c>
      <c r="C13" s="65" t="s">
        <v>3</v>
      </c>
      <c r="D13" s="65" t="s">
        <v>4</v>
      </c>
      <c r="E13" s="148">
        <v>907.43</v>
      </c>
    </row>
    <row r="14" spans="2:5" ht="15.75" x14ac:dyDescent="0.45">
      <c r="B14" s="8" t="s">
        <v>2</v>
      </c>
      <c r="C14" s="8" t="s">
        <v>6</v>
      </c>
      <c r="D14" s="8" t="s">
        <v>86</v>
      </c>
      <c r="E14" s="147">
        <f>E13</f>
        <v>907.43</v>
      </c>
    </row>
    <row r="15" spans="2:5" ht="15.75" x14ac:dyDescent="0.45">
      <c r="B15" s="65" t="s">
        <v>13</v>
      </c>
      <c r="C15" s="65" t="s">
        <v>3</v>
      </c>
      <c r="D15" s="65"/>
      <c r="E15" s="149">
        <v>53.39</v>
      </c>
    </row>
    <row r="16" spans="2:5" ht="15.75" x14ac:dyDescent="0.45">
      <c r="B16" s="8" t="s">
        <v>14</v>
      </c>
      <c r="C16" s="8" t="s">
        <v>3</v>
      </c>
      <c r="D16" s="8"/>
      <c r="E16" s="147">
        <v>32.96</v>
      </c>
    </row>
    <row r="17" spans="2:6" ht="15.75" x14ac:dyDescent="0.45">
      <c r="B17" s="65" t="s">
        <v>15</v>
      </c>
      <c r="C17" s="65" t="s">
        <v>6</v>
      </c>
      <c r="D17" s="65"/>
      <c r="E17" s="149">
        <v>43.54</v>
      </c>
    </row>
    <row r="18" spans="2:6" ht="15.75" x14ac:dyDescent="0.45">
      <c r="B18" s="8" t="s">
        <v>16</v>
      </c>
      <c r="C18" s="8" t="s">
        <v>6</v>
      </c>
      <c r="D18" s="8"/>
      <c r="E18" s="147">
        <v>31.74</v>
      </c>
    </row>
    <row r="19" spans="2:6" ht="15.85" customHeight="1" x14ac:dyDescent="0.45">
      <c r="B19" s="65" t="s">
        <v>80</v>
      </c>
      <c r="C19" s="65" t="s">
        <v>77</v>
      </c>
      <c r="D19" s="65"/>
      <c r="E19" s="149">
        <v>32.96</v>
      </c>
    </row>
    <row r="20" spans="2:6" ht="15.85" customHeight="1" x14ac:dyDescent="0.45">
      <c r="B20" s="8" t="s">
        <v>79</v>
      </c>
      <c r="C20" s="8" t="s">
        <v>77</v>
      </c>
      <c r="D20" s="8"/>
      <c r="E20" s="147">
        <v>28.45</v>
      </c>
    </row>
    <row r="21" spans="2:6" ht="15.85" customHeight="1" x14ac:dyDescent="0.45">
      <c r="B21" s="65" t="s">
        <v>82</v>
      </c>
      <c r="C21" s="65" t="s">
        <v>78</v>
      </c>
      <c r="D21" s="65"/>
      <c r="E21" s="149">
        <v>22.44</v>
      </c>
    </row>
    <row r="22" spans="2:6" ht="15.85" customHeight="1" x14ac:dyDescent="0.5">
      <c r="B22" s="8" t="s">
        <v>81</v>
      </c>
      <c r="C22" s="8" t="s">
        <v>78</v>
      </c>
      <c r="D22" s="8"/>
      <c r="E22" s="142">
        <v>22.2</v>
      </c>
    </row>
    <row r="23" spans="2:6" ht="15.85" customHeight="1" x14ac:dyDescent="0.5">
      <c r="B23" s="65" t="s">
        <v>83</v>
      </c>
      <c r="C23" s="65"/>
      <c r="D23" s="65" t="s">
        <v>84</v>
      </c>
      <c r="E23" s="141">
        <v>16.899999999999999</v>
      </c>
    </row>
    <row r="24" spans="2:6" ht="15.85" customHeight="1" x14ac:dyDescent="0.5">
      <c r="B24" s="8" t="s">
        <v>85</v>
      </c>
      <c r="C24" s="8"/>
      <c r="D24" s="8"/>
      <c r="E24" s="142">
        <f>E23</f>
        <v>16.899999999999999</v>
      </c>
    </row>
    <row r="25" spans="2:6" x14ac:dyDescent="0.45">
      <c r="B25" s="66" t="s">
        <v>107</v>
      </c>
      <c r="C25" s="67"/>
      <c r="D25" s="67"/>
      <c r="E25" s="67"/>
      <c r="F25" s="66" t="s">
        <v>361</v>
      </c>
    </row>
    <row r="26" spans="2:6" ht="15.75" x14ac:dyDescent="0.5">
      <c r="B26" s="8" t="s">
        <v>7</v>
      </c>
      <c r="C26" s="1"/>
      <c r="D26" s="1"/>
      <c r="E26" s="147">
        <v>94.46</v>
      </c>
      <c r="F26" s="143">
        <f>E26</f>
        <v>94.46</v>
      </c>
    </row>
    <row r="27" spans="2:6" ht="15.75" x14ac:dyDescent="0.5">
      <c r="B27" s="65" t="s">
        <v>8</v>
      </c>
      <c r="E27" s="148">
        <v>88.74</v>
      </c>
      <c r="F27" s="144">
        <f>F26+E27</f>
        <v>183.2</v>
      </c>
    </row>
    <row r="28" spans="2:6" ht="15.75" x14ac:dyDescent="0.5">
      <c r="B28" s="8" t="s">
        <v>9</v>
      </c>
      <c r="C28" s="1"/>
      <c r="D28" s="1"/>
      <c r="E28" s="147">
        <v>118.26</v>
      </c>
      <c r="F28" s="143">
        <f t="shared" ref="F28:F30" si="0">F27+E28</f>
        <v>301.45999999999998</v>
      </c>
    </row>
    <row r="29" spans="2:6" ht="15.75" x14ac:dyDescent="0.5">
      <c r="B29" s="65" t="s">
        <v>10</v>
      </c>
      <c r="E29" s="148">
        <v>161.82</v>
      </c>
      <c r="F29" s="144">
        <f t="shared" si="0"/>
        <v>463.28</v>
      </c>
    </row>
    <row r="30" spans="2:6" ht="15.75" x14ac:dyDescent="0.5">
      <c r="B30" s="8" t="s">
        <v>11</v>
      </c>
      <c r="C30" s="1"/>
      <c r="D30" s="1"/>
      <c r="E30" s="147">
        <v>62.12</v>
      </c>
      <c r="F30" s="143">
        <f t="shared" si="0"/>
        <v>525.4</v>
      </c>
    </row>
    <row r="31" spans="2:6" x14ac:dyDescent="0.45">
      <c r="B31" s="66" t="s">
        <v>18</v>
      </c>
      <c r="C31" s="66" t="s">
        <v>20</v>
      </c>
      <c r="D31" s="66" t="s">
        <v>21</v>
      </c>
      <c r="E31" s="66" t="s">
        <v>21</v>
      </c>
    </row>
    <row r="32" spans="2:6" ht="15.75" x14ac:dyDescent="0.45">
      <c r="B32" s="8" t="s">
        <v>19</v>
      </c>
      <c r="C32" s="8" t="s">
        <v>89</v>
      </c>
      <c r="D32" s="8" t="s">
        <v>28</v>
      </c>
      <c r="E32" s="147">
        <v>885.8</v>
      </c>
    </row>
    <row r="33" spans="2:5" ht="15.75" x14ac:dyDescent="0.45">
      <c r="B33" s="65" t="s">
        <v>19</v>
      </c>
      <c r="C33" s="65" t="s">
        <v>90</v>
      </c>
      <c r="D33" s="65" t="s">
        <v>29</v>
      </c>
      <c r="E33" s="148">
        <v>835.11</v>
      </c>
    </row>
    <row r="34" spans="2:5" ht="15.75" x14ac:dyDescent="0.45">
      <c r="B34" s="8" t="s">
        <v>19</v>
      </c>
      <c r="C34" s="8" t="s">
        <v>91</v>
      </c>
      <c r="D34" s="8" t="s">
        <v>30</v>
      </c>
      <c r="E34" s="147">
        <v>688.09</v>
      </c>
    </row>
    <row r="35" spans="2:5" ht="15.75" x14ac:dyDescent="0.45">
      <c r="B35" s="65" t="s">
        <v>19</v>
      </c>
      <c r="C35" s="65" t="s">
        <v>92</v>
      </c>
      <c r="D35" s="65" t="s">
        <v>31</v>
      </c>
      <c r="E35" s="148">
        <v>563.41</v>
      </c>
    </row>
    <row r="36" spans="2:5" ht="15.75" x14ac:dyDescent="0.45">
      <c r="B36" s="8" t="s">
        <v>19</v>
      </c>
      <c r="C36" s="8" t="s">
        <v>93</v>
      </c>
      <c r="D36" s="8" t="s">
        <v>32</v>
      </c>
      <c r="E36" s="147">
        <v>450.29</v>
      </c>
    </row>
    <row r="37" spans="2:5" ht="15.75" x14ac:dyDescent="0.45">
      <c r="B37" s="65" t="s">
        <v>19</v>
      </c>
      <c r="C37" s="65" t="s">
        <v>94</v>
      </c>
      <c r="D37" s="65" t="s">
        <v>33</v>
      </c>
      <c r="E37" s="148">
        <v>333.27</v>
      </c>
    </row>
    <row r="38" spans="2:5" ht="15.75" x14ac:dyDescent="0.45">
      <c r="B38" s="8" t="s">
        <v>34</v>
      </c>
      <c r="C38" s="8" t="s">
        <v>89</v>
      </c>
      <c r="D38" s="8" t="s">
        <v>28</v>
      </c>
      <c r="E38" s="147">
        <v>607.77</v>
      </c>
    </row>
    <row r="39" spans="2:5" ht="15.75" x14ac:dyDescent="0.45">
      <c r="B39" s="65" t="s">
        <v>34</v>
      </c>
      <c r="C39" s="65" t="s">
        <v>90</v>
      </c>
      <c r="D39" s="65" t="s">
        <v>29</v>
      </c>
      <c r="E39" s="148">
        <v>558.29</v>
      </c>
    </row>
    <row r="40" spans="2:5" ht="15.75" x14ac:dyDescent="0.45">
      <c r="B40" s="8" t="s">
        <v>34</v>
      </c>
      <c r="C40" s="8" t="s">
        <v>91</v>
      </c>
      <c r="D40" s="8" t="s">
        <v>30</v>
      </c>
      <c r="E40" s="147">
        <v>508.87</v>
      </c>
    </row>
    <row r="41" spans="2:5" ht="15.75" x14ac:dyDescent="0.45">
      <c r="B41" s="65" t="s">
        <v>34</v>
      </c>
      <c r="C41" s="65" t="s">
        <v>92</v>
      </c>
      <c r="D41" s="65" t="s">
        <v>31</v>
      </c>
      <c r="E41" s="148">
        <v>437.13</v>
      </c>
    </row>
    <row r="42" spans="2:5" ht="15.75" x14ac:dyDescent="0.45">
      <c r="B42" s="8" t="s">
        <v>34</v>
      </c>
      <c r="C42" s="8" t="s">
        <v>93</v>
      </c>
      <c r="D42" s="8" t="s">
        <v>32</v>
      </c>
      <c r="E42" s="147">
        <v>380.45</v>
      </c>
    </row>
    <row r="43" spans="2:5" ht="15.75" x14ac:dyDescent="0.45">
      <c r="B43" s="65" t="s">
        <v>35</v>
      </c>
      <c r="C43" s="65" t="s">
        <v>89</v>
      </c>
      <c r="D43" s="65" t="s">
        <v>28</v>
      </c>
      <c r="E43" s="149">
        <f>E38</f>
        <v>607.77</v>
      </c>
    </row>
    <row r="44" spans="2:5" ht="15.75" x14ac:dyDescent="0.45">
      <c r="B44" s="8" t="s">
        <v>35</v>
      </c>
      <c r="C44" s="8" t="s">
        <v>90</v>
      </c>
      <c r="D44" s="8" t="s">
        <v>29</v>
      </c>
      <c r="E44" s="147">
        <f>E39</f>
        <v>558.29</v>
      </c>
    </row>
    <row r="45" spans="2:5" ht="15.75" x14ac:dyDescent="0.45">
      <c r="B45" s="65" t="s">
        <v>35</v>
      </c>
      <c r="C45" s="65" t="s">
        <v>91</v>
      </c>
      <c r="D45" s="65" t="s">
        <v>30</v>
      </c>
      <c r="E45" s="149">
        <f t="shared" ref="E45:E47" si="1">E40</f>
        <v>508.87</v>
      </c>
    </row>
    <row r="46" spans="2:5" ht="15.75" x14ac:dyDescent="0.45">
      <c r="B46" s="8" t="s">
        <v>35</v>
      </c>
      <c r="C46" s="8" t="s">
        <v>92</v>
      </c>
      <c r="D46" s="8" t="s">
        <v>31</v>
      </c>
      <c r="E46" s="147">
        <f t="shared" si="1"/>
        <v>437.13</v>
      </c>
    </row>
    <row r="47" spans="2:5" ht="15.75" x14ac:dyDescent="0.45">
      <c r="B47" s="65" t="s">
        <v>35</v>
      </c>
      <c r="C47" s="65" t="s">
        <v>93</v>
      </c>
      <c r="D47" s="65" t="s">
        <v>32</v>
      </c>
      <c r="E47" s="149">
        <f t="shared" si="1"/>
        <v>380.45</v>
      </c>
    </row>
    <row r="48" spans="2:5" ht="15.75" x14ac:dyDescent="0.45">
      <c r="B48" s="8" t="s">
        <v>19</v>
      </c>
      <c r="C48" s="8" t="s">
        <v>64</v>
      </c>
      <c r="D48" s="8" t="s">
        <v>28</v>
      </c>
      <c r="E48" s="147">
        <v>968.99</v>
      </c>
    </row>
    <row r="49" spans="2:5" ht="15.75" x14ac:dyDescent="0.45">
      <c r="B49" s="65" t="s">
        <v>19</v>
      </c>
      <c r="C49" s="65" t="s">
        <v>65</v>
      </c>
      <c r="D49" s="65" t="s">
        <v>29</v>
      </c>
      <c r="E49" s="148">
        <v>918.31</v>
      </c>
    </row>
    <row r="50" spans="2:5" ht="15.75" x14ac:dyDescent="0.45">
      <c r="B50" s="8" t="s">
        <v>19</v>
      </c>
      <c r="C50" s="8" t="s">
        <v>66</v>
      </c>
      <c r="D50" s="8" t="s">
        <v>30</v>
      </c>
      <c r="E50" s="147">
        <v>771.25</v>
      </c>
    </row>
    <row r="51" spans="2:5" ht="15.75" x14ac:dyDescent="0.45">
      <c r="B51" s="65" t="s">
        <v>19</v>
      </c>
      <c r="C51" s="65" t="s">
        <v>67</v>
      </c>
      <c r="D51" s="65" t="s">
        <v>31</v>
      </c>
      <c r="E51" s="148">
        <v>646.59</v>
      </c>
    </row>
    <row r="52" spans="2:5" ht="15.75" x14ac:dyDescent="0.45">
      <c r="B52" s="8" t="s">
        <v>19</v>
      </c>
      <c r="C52" s="8" t="s">
        <v>68</v>
      </c>
      <c r="D52" s="8" t="s">
        <v>32</v>
      </c>
      <c r="E52" s="147">
        <v>533.49</v>
      </c>
    </row>
    <row r="53" spans="2:5" ht="15.75" x14ac:dyDescent="0.45">
      <c r="B53" s="65" t="s">
        <v>19</v>
      </c>
      <c r="C53" s="65" t="s">
        <v>69</v>
      </c>
      <c r="D53" s="65" t="s">
        <v>33</v>
      </c>
      <c r="E53" s="148">
        <v>416.45</v>
      </c>
    </row>
    <row r="54" spans="2:5" ht="15.75" x14ac:dyDescent="0.45">
      <c r="B54" s="8" t="s">
        <v>34</v>
      </c>
      <c r="C54" s="8" t="s">
        <v>64</v>
      </c>
      <c r="D54" s="8" t="s">
        <v>28</v>
      </c>
      <c r="E54" s="147">
        <v>690.97</v>
      </c>
    </row>
    <row r="55" spans="2:5" ht="15.75" x14ac:dyDescent="0.45">
      <c r="B55" s="65" t="s">
        <v>34</v>
      </c>
      <c r="C55" s="65" t="s">
        <v>65</v>
      </c>
      <c r="D55" s="65" t="s">
        <v>29</v>
      </c>
      <c r="E55" s="148">
        <v>641.47</v>
      </c>
    </row>
    <row r="56" spans="2:5" ht="15.75" x14ac:dyDescent="0.45">
      <c r="B56" s="8" t="s">
        <v>34</v>
      </c>
      <c r="C56" s="8" t="s">
        <v>66</v>
      </c>
      <c r="D56" s="8" t="s">
        <v>30</v>
      </c>
      <c r="E56" s="147">
        <v>592.07000000000005</v>
      </c>
    </row>
    <row r="57" spans="2:5" ht="15.75" x14ac:dyDescent="0.45">
      <c r="B57" s="65" t="s">
        <v>34</v>
      </c>
      <c r="C57" s="65" t="s">
        <v>67</v>
      </c>
      <c r="D57" s="65" t="s">
        <v>31</v>
      </c>
      <c r="E57" s="148">
        <v>520.32000000000005</v>
      </c>
    </row>
    <row r="58" spans="2:5" ht="15.75" x14ac:dyDescent="0.45">
      <c r="B58" s="8" t="s">
        <v>34</v>
      </c>
      <c r="C58" s="8" t="s">
        <v>68</v>
      </c>
      <c r="D58" s="8" t="s">
        <v>32</v>
      </c>
      <c r="E58" s="147">
        <v>463.64</v>
      </c>
    </row>
    <row r="59" spans="2:5" ht="15.75" x14ac:dyDescent="0.45">
      <c r="B59" s="65" t="s">
        <v>35</v>
      </c>
      <c r="C59" s="65" t="s">
        <v>64</v>
      </c>
      <c r="D59" s="65" t="s">
        <v>28</v>
      </c>
      <c r="E59" s="149">
        <f>E54</f>
        <v>690.97</v>
      </c>
    </row>
    <row r="60" spans="2:5" ht="15.75" x14ac:dyDescent="0.45">
      <c r="B60" s="8" t="s">
        <v>35</v>
      </c>
      <c r="C60" s="8" t="s">
        <v>65</v>
      </c>
      <c r="D60" s="8" t="s">
        <v>29</v>
      </c>
      <c r="E60" s="147">
        <v>641.47</v>
      </c>
    </row>
    <row r="61" spans="2:5" ht="15.75" x14ac:dyDescent="0.45">
      <c r="B61" s="65" t="s">
        <v>35</v>
      </c>
      <c r="C61" s="65" t="s">
        <v>66</v>
      </c>
      <c r="D61" s="65" t="s">
        <v>30</v>
      </c>
      <c r="E61" s="149">
        <v>592.07000000000005</v>
      </c>
    </row>
    <row r="62" spans="2:5" ht="15.75" x14ac:dyDescent="0.45">
      <c r="B62" s="8" t="s">
        <v>35</v>
      </c>
      <c r="C62" s="8" t="s">
        <v>67</v>
      </c>
      <c r="D62" s="8" t="s">
        <v>31</v>
      </c>
      <c r="E62" s="147">
        <v>520.32000000000005</v>
      </c>
    </row>
    <row r="63" spans="2:5" ht="15.75" x14ac:dyDescent="0.45">
      <c r="B63" s="65" t="s">
        <v>35</v>
      </c>
      <c r="C63" s="65" t="s">
        <v>68</v>
      </c>
      <c r="D63" s="65" t="s">
        <v>32</v>
      </c>
      <c r="E63" s="149">
        <v>463.64</v>
      </c>
    </row>
    <row r="64" spans="2:5" ht="15.75" x14ac:dyDescent="0.45">
      <c r="B64" s="8" t="s">
        <v>19</v>
      </c>
      <c r="C64" s="8" t="s">
        <v>36</v>
      </c>
      <c r="D64" s="8" t="s">
        <v>40</v>
      </c>
      <c r="E64" s="147">
        <v>985.93</v>
      </c>
    </row>
    <row r="65" spans="2:5" ht="15.75" x14ac:dyDescent="0.45">
      <c r="B65" s="65" t="s">
        <v>19</v>
      </c>
      <c r="C65" s="65" t="s">
        <v>37</v>
      </c>
      <c r="D65" s="65" t="s">
        <v>41</v>
      </c>
      <c r="E65" s="148">
        <v>886.61</v>
      </c>
    </row>
    <row r="66" spans="2:5" ht="15.75" x14ac:dyDescent="0.45">
      <c r="B66" s="8" t="s">
        <v>19</v>
      </c>
      <c r="C66" s="8" t="s">
        <v>38</v>
      </c>
      <c r="D66" s="8" t="s">
        <v>42</v>
      </c>
      <c r="E66" s="147">
        <v>835.39</v>
      </c>
    </row>
    <row r="67" spans="2:5" ht="15.75" x14ac:dyDescent="0.45">
      <c r="B67" s="65" t="s">
        <v>19</v>
      </c>
      <c r="C67" s="65" t="s">
        <v>39</v>
      </c>
      <c r="D67" s="65" t="s">
        <v>43</v>
      </c>
      <c r="E67" s="148">
        <v>790.05</v>
      </c>
    </row>
    <row r="68" spans="2:5" ht="15.75" x14ac:dyDescent="0.45">
      <c r="B68" s="8" t="s">
        <v>34</v>
      </c>
      <c r="C68" s="8" t="s">
        <v>36</v>
      </c>
      <c r="D68" s="8" t="s">
        <v>40</v>
      </c>
      <c r="E68" s="147">
        <v>749.83</v>
      </c>
    </row>
    <row r="69" spans="2:5" ht="15.75" x14ac:dyDescent="0.45">
      <c r="B69" s="65" t="s">
        <v>34</v>
      </c>
      <c r="C69" s="65" t="s">
        <v>37</v>
      </c>
      <c r="D69" s="65" t="s">
        <v>41</v>
      </c>
      <c r="E69" s="148">
        <v>687.26</v>
      </c>
    </row>
    <row r="70" spans="2:5" ht="15.75" x14ac:dyDescent="0.45">
      <c r="B70" s="8" t="s">
        <v>34</v>
      </c>
      <c r="C70" s="8" t="s">
        <v>38</v>
      </c>
      <c r="D70" s="8" t="s">
        <v>42</v>
      </c>
      <c r="E70" s="147">
        <v>636.98</v>
      </c>
    </row>
    <row r="71" spans="2:5" ht="15.75" x14ac:dyDescent="0.45">
      <c r="B71" s="65" t="s">
        <v>34</v>
      </c>
      <c r="C71" s="65" t="s">
        <v>39</v>
      </c>
      <c r="D71" s="65" t="s">
        <v>43</v>
      </c>
      <c r="E71" s="148">
        <v>599.33000000000004</v>
      </c>
    </row>
    <row r="72" spans="2:5" ht="15.75" x14ac:dyDescent="0.45">
      <c r="B72" s="8" t="s">
        <v>35</v>
      </c>
      <c r="C72" s="8" t="s">
        <v>36</v>
      </c>
      <c r="D72" s="8" t="s">
        <v>40</v>
      </c>
      <c r="E72" s="147">
        <v>749.83</v>
      </c>
    </row>
    <row r="73" spans="2:5" ht="15.75" x14ac:dyDescent="0.45">
      <c r="B73" s="65" t="s">
        <v>35</v>
      </c>
      <c r="C73" s="65" t="s">
        <v>37</v>
      </c>
      <c r="D73" s="65" t="s">
        <v>41</v>
      </c>
      <c r="E73" s="148">
        <v>687.26</v>
      </c>
    </row>
    <row r="74" spans="2:5" ht="15.75" x14ac:dyDescent="0.45">
      <c r="B74" s="8" t="s">
        <v>35</v>
      </c>
      <c r="C74" s="8" t="s">
        <v>38</v>
      </c>
      <c r="D74" s="8" t="s">
        <v>42</v>
      </c>
      <c r="E74" s="147">
        <v>636.98</v>
      </c>
    </row>
    <row r="75" spans="2:5" ht="15.75" x14ac:dyDescent="0.45">
      <c r="B75" s="65" t="s">
        <v>35</v>
      </c>
      <c r="C75" s="65" t="s">
        <v>39</v>
      </c>
      <c r="D75" s="65" t="s">
        <v>43</v>
      </c>
      <c r="E75" s="148">
        <v>599.33000000000004</v>
      </c>
    </row>
    <row r="76" spans="2:5" ht="15.75" x14ac:dyDescent="0.45">
      <c r="B76" s="8" t="s">
        <v>19</v>
      </c>
      <c r="C76" s="8" t="s">
        <v>95</v>
      </c>
      <c r="D76" s="8"/>
      <c r="E76" s="147">
        <v>790.05</v>
      </c>
    </row>
    <row r="77" spans="2:5" ht="15.75" x14ac:dyDescent="0.45">
      <c r="B77" s="65" t="s">
        <v>44</v>
      </c>
      <c r="E77" s="149">
        <v>312.54000000000002</v>
      </c>
    </row>
    <row r="78" spans="2:5" x14ac:dyDescent="0.45">
      <c r="B78" s="66" t="s">
        <v>47</v>
      </c>
      <c r="C78" s="66"/>
      <c r="D78" s="66"/>
      <c r="E78" s="66"/>
    </row>
    <row r="79" spans="2:5" ht="15.75" x14ac:dyDescent="0.45">
      <c r="B79" s="8" t="s">
        <v>105</v>
      </c>
      <c r="C79" s="1"/>
      <c r="D79" s="1"/>
      <c r="E79" s="147">
        <v>1752.35</v>
      </c>
    </row>
    <row r="80" spans="2:5" ht="15.75" x14ac:dyDescent="0.45">
      <c r="B80" s="65" t="s">
        <v>106</v>
      </c>
      <c r="E80" s="148">
        <v>1569.88</v>
      </c>
    </row>
    <row r="81" spans="2:5" ht="15.75" x14ac:dyDescent="0.45">
      <c r="B81" s="8" t="s">
        <v>103</v>
      </c>
      <c r="C81" s="1"/>
      <c r="D81" s="1"/>
      <c r="E81" s="147">
        <v>1275.67</v>
      </c>
    </row>
    <row r="82" spans="2:5" ht="15.75" x14ac:dyDescent="0.45">
      <c r="B82" s="65" t="s">
        <v>104</v>
      </c>
      <c r="E82" s="148">
        <v>1095.71</v>
      </c>
    </row>
    <row r="83" spans="2:5" ht="15.75" x14ac:dyDescent="0.45">
      <c r="B83" s="8" t="s">
        <v>101</v>
      </c>
      <c r="C83" s="1"/>
      <c r="D83" s="1"/>
      <c r="E83" s="147">
        <v>685.5</v>
      </c>
    </row>
    <row r="84" spans="2:5" ht="15.75" x14ac:dyDescent="0.45">
      <c r="B84" s="65" t="s">
        <v>102</v>
      </c>
      <c r="E84" s="148">
        <v>427.28</v>
      </c>
    </row>
    <row r="85" spans="2:5" ht="15.75" x14ac:dyDescent="0.45">
      <c r="B85" s="8" t="s">
        <v>45</v>
      </c>
      <c r="C85" s="1"/>
      <c r="D85" s="1"/>
      <c r="E85" s="147">
        <v>562.04999999999995</v>
      </c>
    </row>
    <row r="86" spans="2:5" ht="15.75" x14ac:dyDescent="0.45">
      <c r="B86" s="65" t="s">
        <v>46</v>
      </c>
      <c r="E86" s="148">
        <v>312.54000000000002</v>
      </c>
    </row>
    <row r="87" spans="2:5" ht="15.75" x14ac:dyDescent="0.45">
      <c r="B87" s="8" t="s">
        <v>99</v>
      </c>
      <c r="C87" s="1"/>
      <c r="D87" s="1"/>
      <c r="E87" s="147">
        <f>E85</f>
        <v>562.04999999999995</v>
      </c>
    </row>
    <row r="88" spans="2:5" ht="15.75" x14ac:dyDescent="0.5">
      <c r="B88" s="65" t="s">
        <v>96</v>
      </c>
      <c r="E88" s="151">
        <v>749.83</v>
      </c>
    </row>
    <row r="89" spans="2:5" ht="15.75" x14ac:dyDescent="0.45">
      <c r="B89" s="8" t="s">
        <v>97</v>
      </c>
      <c r="C89" s="1"/>
      <c r="D89" s="1"/>
      <c r="E89" s="147">
        <v>312.54000000000002</v>
      </c>
    </row>
    <row r="90" spans="2:5" ht="15.75" x14ac:dyDescent="0.5">
      <c r="B90" s="65" t="s">
        <v>98</v>
      </c>
      <c r="E90" s="151">
        <v>403.07</v>
      </c>
    </row>
    <row r="91" spans="2:5" ht="15.75" x14ac:dyDescent="0.5">
      <c r="B91" s="8" t="s">
        <v>48</v>
      </c>
      <c r="C91" s="1"/>
      <c r="D91" s="1"/>
      <c r="E91" s="150">
        <v>83.24</v>
      </c>
    </row>
    <row r="92" spans="2:5" ht="15.75" x14ac:dyDescent="0.5">
      <c r="B92" s="65" t="s">
        <v>49</v>
      </c>
      <c r="E92" s="151">
        <v>83.24</v>
      </c>
    </row>
    <row r="93" spans="2:5" x14ac:dyDescent="0.45">
      <c r="B93" s="66" t="s">
        <v>70</v>
      </c>
      <c r="C93" s="66"/>
      <c r="D93" s="66"/>
      <c r="E93" s="66"/>
    </row>
    <row r="94" spans="2:5" ht="15.75" x14ac:dyDescent="0.5">
      <c r="B94" s="8" t="s">
        <v>71</v>
      </c>
      <c r="C94" s="1"/>
      <c r="D94" s="1"/>
      <c r="E94" s="150">
        <v>143.5</v>
      </c>
    </row>
    <row r="95" spans="2:5" ht="2.65" hidden="1" customHeight="1" x14ac:dyDescent="0.45">
      <c r="B95" s="65" t="s">
        <v>72</v>
      </c>
      <c r="E95" s="68" t="e">
        <f>#REF!</f>
        <v>#REF!</v>
      </c>
    </row>
    <row r="96" spans="2:5" ht="15.75" x14ac:dyDescent="0.45">
      <c r="B96" s="65" t="s">
        <v>100</v>
      </c>
      <c r="E96" s="149">
        <v>184.71</v>
      </c>
    </row>
    <row r="97" spans="1:5" ht="15.75" x14ac:dyDescent="0.5">
      <c r="B97" s="8" t="s">
        <v>75</v>
      </c>
      <c r="C97" s="1"/>
      <c r="D97" s="1"/>
      <c r="E97" s="150">
        <v>120.28</v>
      </c>
    </row>
    <row r="98" spans="1:5" ht="15.75" x14ac:dyDescent="0.45">
      <c r="B98" s="65" t="s">
        <v>73</v>
      </c>
      <c r="E98" s="149">
        <v>83.24</v>
      </c>
    </row>
    <row r="99" spans="1:5" ht="15.75" x14ac:dyDescent="0.45">
      <c r="B99" s="8" t="s">
        <v>74</v>
      </c>
      <c r="C99" s="1"/>
      <c r="D99" s="1"/>
      <c r="E99" s="147">
        <v>83.24</v>
      </c>
    </row>
    <row r="100" spans="1:5" ht="15.75" x14ac:dyDescent="0.45">
      <c r="B100" s="65" t="s">
        <v>76</v>
      </c>
      <c r="E100" s="149">
        <v>120.28</v>
      </c>
    </row>
    <row r="101" spans="1:5" x14ac:dyDescent="0.45">
      <c r="B101" s="66" t="s">
        <v>50</v>
      </c>
      <c r="C101" s="108"/>
      <c r="D101" s="108"/>
      <c r="E101" s="108"/>
    </row>
    <row r="102" spans="1:5" ht="15.75" x14ac:dyDescent="0.45">
      <c r="B102" s="8" t="s">
        <v>111</v>
      </c>
      <c r="C102" s="1"/>
      <c r="D102" s="1"/>
      <c r="E102" s="147">
        <v>36.28</v>
      </c>
    </row>
    <row r="103" spans="1:5" ht="15.75" x14ac:dyDescent="0.45">
      <c r="B103" s="65" t="s">
        <v>51</v>
      </c>
      <c r="E103" s="148">
        <v>49.25</v>
      </c>
    </row>
    <row r="104" spans="1:5" ht="15.75" x14ac:dyDescent="0.45">
      <c r="B104" s="8" t="s">
        <v>52</v>
      </c>
      <c r="C104" s="1"/>
      <c r="D104" s="1"/>
      <c r="E104" s="147">
        <v>9.27</v>
      </c>
    </row>
    <row r="105" spans="1:5" ht="15.75" x14ac:dyDescent="0.45">
      <c r="B105" s="102" t="s">
        <v>110</v>
      </c>
      <c r="C105" s="103"/>
      <c r="D105" s="104">
        <v>252.84</v>
      </c>
      <c r="E105" s="148">
        <v>270.93</v>
      </c>
    </row>
    <row r="106" spans="1:5" x14ac:dyDescent="0.45">
      <c r="B106" s="66" t="s">
        <v>53</v>
      </c>
      <c r="C106" s="66"/>
      <c r="D106" s="66"/>
      <c r="E106" s="66"/>
    </row>
    <row r="107" spans="1:5" ht="15.75" x14ac:dyDescent="0.45">
      <c r="A107" s="65"/>
      <c r="B107" s="8" t="s">
        <v>54</v>
      </c>
      <c r="C107" s="1"/>
      <c r="D107" s="1"/>
      <c r="E107" s="147">
        <v>17.649999999999999</v>
      </c>
    </row>
    <row r="108" spans="1:5" ht="15.75" x14ac:dyDescent="0.45">
      <c r="A108" s="65"/>
      <c r="B108" s="65" t="s">
        <v>55</v>
      </c>
      <c r="E108" s="148">
        <v>35.32</v>
      </c>
    </row>
    <row r="109" spans="1:5" ht="15.75" x14ac:dyDescent="0.45">
      <c r="A109" s="65"/>
      <c r="B109" s="8" t="s">
        <v>56</v>
      </c>
      <c r="C109" s="1"/>
      <c r="D109" s="1"/>
      <c r="E109" s="147">
        <v>52.97</v>
      </c>
    </row>
    <row r="110" spans="1:5" ht="15.75" x14ac:dyDescent="0.45">
      <c r="A110" s="65"/>
      <c r="B110" s="65" t="s">
        <v>57</v>
      </c>
      <c r="E110" s="148">
        <v>70.64</v>
      </c>
    </row>
    <row r="111" spans="1:5" ht="15.75" x14ac:dyDescent="0.45">
      <c r="A111" s="65"/>
      <c r="B111" s="8" t="s">
        <v>58</v>
      </c>
      <c r="C111" s="1"/>
      <c r="D111" s="1"/>
      <c r="E111" s="147">
        <v>88.29</v>
      </c>
    </row>
    <row r="112" spans="1:5" ht="15.75" x14ac:dyDescent="0.45">
      <c r="A112" s="65"/>
      <c r="B112" s="65" t="s">
        <v>59</v>
      </c>
      <c r="E112" s="148">
        <v>105.96</v>
      </c>
    </row>
    <row r="113" spans="1:5" ht="15.75" x14ac:dyDescent="0.45">
      <c r="A113" s="65"/>
      <c r="B113" s="8" t="s">
        <v>60</v>
      </c>
      <c r="C113" s="1"/>
      <c r="D113" s="1"/>
      <c r="E113" s="147">
        <v>123.62</v>
      </c>
    </row>
    <row r="114" spans="1:5" ht="15.75" x14ac:dyDescent="0.45">
      <c r="A114" s="65"/>
      <c r="B114" s="65" t="s">
        <v>61</v>
      </c>
      <c r="E114" s="148">
        <v>141.27000000000001</v>
      </c>
    </row>
    <row r="115" spans="1:5" ht="15.75" x14ac:dyDescent="0.45">
      <c r="A115" s="65"/>
      <c r="B115" s="8" t="s">
        <v>62</v>
      </c>
      <c r="C115" s="1"/>
      <c r="D115" s="1"/>
      <c r="E115" s="147">
        <v>158.94</v>
      </c>
    </row>
    <row r="116" spans="1:5" ht="15.75" x14ac:dyDescent="0.45">
      <c r="A116" s="65"/>
      <c r="B116" s="65" t="s">
        <v>63</v>
      </c>
      <c r="E116" s="148">
        <v>176.59</v>
      </c>
    </row>
    <row r="117" spans="1:5" x14ac:dyDescent="0.45">
      <c r="B117" s="66" t="s">
        <v>330</v>
      </c>
      <c r="C117" s="66"/>
      <c r="D117" s="66"/>
      <c r="E117" s="66"/>
    </row>
    <row r="118" spans="1:5" x14ac:dyDescent="0.45">
      <c r="B118" s="8" t="s">
        <v>108</v>
      </c>
      <c r="C118" s="1"/>
      <c r="D118" s="1"/>
      <c r="E118" s="145">
        <v>11.04</v>
      </c>
    </row>
    <row r="119" spans="1:5" x14ac:dyDescent="0.45">
      <c r="B119" s="65" t="s">
        <v>109</v>
      </c>
      <c r="E119" s="68">
        <v>12.6</v>
      </c>
    </row>
    <row r="120" spans="1:5" x14ac:dyDescent="0.45">
      <c r="B120" s="66" t="s">
        <v>286</v>
      </c>
      <c r="C120" s="66"/>
      <c r="D120" s="66"/>
      <c r="E120" s="66"/>
    </row>
    <row r="121" spans="1:5" x14ac:dyDescent="0.45">
      <c r="B121" s="8" t="s">
        <v>317</v>
      </c>
      <c r="C121" s="146"/>
      <c r="D121" s="1"/>
      <c r="E121" s="145">
        <v>0.26</v>
      </c>
    </row>
    <row r="122" spans="1:5" x14ac:dyDescent="0.45">
      <c r="B122" s="65" t="s">
        <v>318</v>
      </c>
      <c r="E122" s="68">
        <v>0.11</v>
      </c>
    </row>
    <row r="123" spans="1:5" x14ac:dyDescent="0.45">
      <c r="B123" s="66" t="s">
        <v>328</v>
      </c>
      <c r="C123" s="66"/>
      <c r="D123" s="66"/>
      <c r="E123" s="66"/>
    </row>
    <row r="124" spans="1:5" x14ac:dyDescent="0.45">
      <c r="B124" s="8" t="s">
        <v>319</v>
      </c>
      <c r="C124" s="1"/>
      <c r="D124" s="1"/>
      <c r="E124" s="145">
        <v>64.73</v>
      </c>
    </row>
    <row r="125" spans="1:5" x14ac:dyDescent="0.45">
      <c r="B125" s="65" t="s">
        <v>320</v>
      </c>
      <c r="E125" s="68">
        <v>40.68</v>
      </c>
    </row>
    <row r="126" spans="1:5" x14ac:dyDescent="0.45">
      <c r="B126" s="8" t="s">
        <v>321</v>
      </c>
      <c r="C126" s="1"/>
      <c r="D126" s="1"/>
      <c r="E126" s="145">
        <v>105.39</v>
      </c>
    </row>
    <row r="127" spans="1:5" x14ac:dyDescent="0.45">
      <c r="B127" s="66" t="s">
        <v>363</v>
      </c>
      <c r="C127" s="66"/>
      <c r="D127" s="66"/>
      <c r="E127" s="66"/>
    </row>
    <row r="128" spans="1:5" x14ac:dyDescent="0.45">
      <c r="B128" s="8" t="s">
        <v>322</v>
      </c>
      <c r="C128" s="1"/>
      <c r="D128" s="1"/>
      <c r="E128" s="145">
        <v>70.09</v>
      </c>
    </row>
    <row r="129" spans="1:5" x14ac:dyDescent="0.45">
      <c r="B129" s="65" t="s">
        <v>323</v>
      </c>
      <c r="E129" s="68">
        <v>45.58</v>
      </c>
    </row>
    <row r="130" spans="1:5" x14ac:dyDescent="0.45">
      <c r="B130" s="8" t="s">
        <v>324</v>
      </c>
      <c r="C130" s="1"/>
      <c r="D130" s="1"/>
      <c r="E130" s="145">
        <v>63.09</v>
      </c>
    </row>
    <row r="131" spans="1:5" x14ac:dyDescent="0.45">
      <c r="A131" s="64"/>
      <c r="B131" s="65" t="s">
        <v>325</v>
      </c>
      <c r="E131" s="68">
        <v>42.34</v>
      </c>
    </row>
    <row r="132" spans="1:5" x14ac:dyDescent="0.45">
      <c r="A132" s="64"/>
      <c r="B132" s="66" t="s">
        <v>329</v>
      </c>
      <c r="C132" s="66"/>
      <c r="D132" s="66"/>
      <c r="E132" s="152"/>
    </row>
    <row r="133" spans="1:5" x14ac:dyDescent="0.45">
      <c r="A133" s="64"/>
      <c r="B133" s="8" t="s">
        <v>326</v>
      </c>
      <c r="C133" s="1"/>
      <c r="D133" s="1"/>
      <c r="E133" s="1"/>
    </row>
    <row r="134" spans="1:5" x14ac:dyDescent="0.45">
      <c r="A134" s="64"/>
      <c r="B134" s="65" t="s">
        <v>327</v>
      </c>
    </row>
    <row r="135" spans="1:5" x14ac:dyDescent="0.45">
      <c r="A135" s="64"/>
      <c r="B135" s="140" t="s">
        <v>336</v>
      </c>
      <c r="C135" s="140"/>
      <c r="D135" s="140"/>
      <c r="E135" s="152"/>
    </row>
    <row r="136" spans="1:5" x14ac:dyDescent="0.45">
      <c r="B136" s="8" t="s">
        <v>337</v>
      </c>
      <c r="C136" s="1"/>
      <c r="D136" s="1"/>
      <c r="E136" s="1"/>
    </row>
    <row r="137" spans="1:5" x14ac:dyDescent="0.45">
      <c r="B137" s="65" t="s">
        <v>338</v>
      </c>
    </row>
    <row r="138" spans="1:5" x14ac:dyDescent="0.45">
      <c r="B138" s="8" t="s">
        <v>339</v>
      </c>
      <c r="C138" s="1"/>
      <c r="D138" s="1"/>
      <c r="E138" s="1"/>
    </row>
    <row r="139" spans="1:5" x14ac:dyDescent="0.45">
      <c r="B139" s="65" t="s">
        <v>340</v>
      </c>
    </row>
    <row r="140" spans="1:5" x14ac:dyDescent="0.45">
      <c r="B140" s="66" t="s">
        <v>341</v>
      </c>
      <c r="C140" s="66"/>
      <c r="D140" s="66"/>
      <c r="E140" s="153"/>
    </row>
    <row r="141" spans="1:5" x14ac:dyDescent="0.45">
      <c r="B141" s="8" t="s">
        <v>342</v>
      </c>
      <c r="C141" s="1"/>
      <c r="D141" s="1"/>
      <c r="E141" s="145">
        <v>72.64</v>
      </c>
    </row>
    <row r="142" spans="1:5" x14ac:dyDescent="0.45">
      <c r="B142" s="65" t="s">
        <v>343</v>
      </c>
      <c r="E142" s="68">
        <v>50.03</v>
      </c>
    </row>
    <row r="143" spans="1:5" x14ac:dyDescent="0.45">
      <c r="B143" s="66" t="s">
        <v>344</v>
      </c>
      <c r="C143" s="66"/>
      <c r="D143" s="66"/>
      <c r="E143" s="153"/>
    </row>
    <row r="144" spans="1:5" x14ac:dyDescent="0.45">
      <c r="B144" s="8" t="s">
        <v>342</v>
      </c>
      <c r="C144" s="1"/>
      <c r="D144" s="1"/>
      <c r="E144" s="145">
        <v>68.2</v>
      </c>
    </row>
    <row r="145" spans="2:5" x14ac:dyDescent="0.45">
      <c r="B145" s="65" t="s">
        <v>345</v>
      </c>
      <c r="E145" s="68">
        <v>45.46</v>
      </c>
    </row>
    <row r="146" spans="2:5" x14ac:dyDescent="0.45">
      <c r="B146" s="66" t="s">
        <v>346</v>
      </c>
      <c r="C146" s="66"/>
      <c r="D146" s="66"/>
      <c r="E146" s="153"/>
    </row>
    <row r="147" spans="2:5" x14ac:dyDescent="0.45">
      <c r="B147" s="8" t="s">
        <v>347</v>
      </c>
      <c r="C147" s="1"/>
      <c r="D147" s="1"/>
      <c r="E147" s="145">
        <v>51.91</v>
      </c>
    </row>
    <row r="148" spans="2:5" x14ac:dyDescent="0.45">
      <c r="B148" s="65" t="s">
        <v>351</v>
      </c>
      <c r="E148" s="68">
        <v>2.5</v>
      </c>
    </row>
    <row r="149" spans="2:5" x14ac:dyDescent="0.45">
      <c r="B149" s="8" t="s">
        <v>348</v>
      </c>
      <c r="C149" s="1"/>
      <c r="D149" s="1"/>
      <c r="E149" s="145">
        <v>150</v>
      </c>
    </row>
    <row r="150" spans="2:5" x14ac:dyDescent="0.45">
      <c r="B150" s="65" t="s">
        <v>349</v>
      </c>
      <c r="E150" s="68">
        <v>38.659999999999997</v>
      </c>
    </row>
    <row r="151" spans="2:5" x14ac:dyDescent="0.45">
      <c r="B151" s="8" t="s">
        <v>352</v>
      </c>
      <c r="C151" s="1"/>
      <c r="D151" s="1"/>
      <c r="E151" s="145">
        <v>2.5</v>
      </c>
    </row>
    <row r="152" spans="2:5" x14ac:dyDescent="0.45">
      <c r="B152" s="65" t="s">
        <v>350</v>
      </c>
      <c r="E152" s="68">
        <v>150</v>
      </c>
    </row>
    <row r="153" spans="2:5" x14ac:dyDescent="0.45">
      <c r="B153" s="66" t="s">
        <v>353</v>
      </c>
      <c r="C153" s="66"/>
      <c r="D153" s="66"/>
      <c r="E153" s="153"/>
    </row>
    <row r="154" spans="2:5" x14ac:dyDescent="0.45">
      <c r="B154" s="8" t="s">
        <v>347</v>
      </c>
      <c r="C154" s="1"/>
      <c r="D154" s="1"/>
      <c r="E154" s="145">
        <v>51.91</v>
      </c>
    </row>
    <row r="155" spans="2:5" x14ac:dyDescent="0.45">
      <c r="B155" s="65" t="s">
        <v>351</v>
      </c>
      <c r="E155" s="68">
        <v>1</v>
      </c>
    </row>
    <row r="156" spans="2:5" x14ac:dyDescent="0.45">
      <c r="B156" s="8" t="s">
        <v>348</v>
      </c>
      <c r="C156" s="1"/>
      <c r="D156" s="1"/>
      <c r="E156" s="145">
        <v>150</v>
      </c>
    </row>
    <row r="157" spans="2:5" x14ac:dyDescent="0.45">
      <c r="B157" s="65" t="s">
        <v>349</v>
      </c>
      <c r="E157" s="68">
        <v>25.98</v>
      </c>
    </row>
    <row r="158" spans="2:5" x14ac:dyDescent="0.45">
      <c r="B158" s="8" t="s">
        <v>352</v>
      </c>
      <c r="C158" s="1"/>
      <c r="D158" s="1"/>
      <c r="E158" s="145">
        <v>1</v>
      </c>
    </row>
    <row r="159" spans="2:5" x14ac:dyDescent="0.45">
      <c r="B159" s="65" t="s">
        <v>350</v>
      </c>
      <c r="E159" s="68">
        <v>150</v>
      </c>
    </row>
    <row r="160" spans="2:5" x14ac:dyDescent="0.45">
      <c r="B160" s="66" t="s">
        <v>354</v>
      </c>
      <c r="C160" s="66"/>
      <c r="D160" s="66"/>
      <c r="E160" s="153"/>
    </row>
    <row r="161" spans="2:5" x14ac:dyDescent="0.45">
      <c r="B161" s="8" t="s">
        <v>342</v>
      </c>
      <c r="C161" s="1"/>
      <c r="D161" s="1"/>
      <c r="E161" s="145">
        <v>72.64</v>
      </c>
    </row>
    <row r="162" spans="2:5" x14ac:dyDescent="0.45">
      <c r="B162" s="65" t="s">
        <v>345</v>
      </c>
      <c r="E162" s="68">
        <v>50.03</v>
      </c>
    </row>
    <row r="163" spans="2:5" x14ac:dyDescent="0.45">
      <c r="B163" s="66" t="s">
        <v>355</v>
      </c>
      <c r="C163" s="66"/>
      <c r="D163" s="66"/>
      <c r="E163" s="153"/>
    </row>
    <row r="164" spans="2:5" x14ac:dyDescent="0.45">
      <c r="B164" s="8" t="s">
        <v>342</v>
      </c>
      <c r="C164" s="1"/>
      <c r="D164" s="1"/>
      <c r="E164" s="145">
        <v>72.64</v>
      </c>
    </row>
    <row r="165" spans="2:5" x14ac:dyDescent="0.45">
      <c r="B165" s="65" t="s">
        <v>345</v>
      </c>
      <c r="E165" s="68">
        <v>50.03</v>
      </c>
    </row>
    <row r="166" spans="2:5" x14ac:dyDescent="0.45">
      <c r="B166" s="66" t="s">
        <v>356</v>
      </c>
      <c r="C166" s="66"/>
      <c r="D166" s="66"/>
      <c r="E166" s="154"/>
    </row>
    <row r="167" spans="2:5" x14ac:dyDescent="0.45">
      <c r="B167" s="8" t="s">
        <v>347</v>
      </c>
      <c r="C167" s="1"/>
      <c r="D167" s="1"/>
      <c r="E167" s="145">
        <v>51.91</v>
      </c>
    </row>
    <row r="168" spans="2:5" x14ac:dyDescent="0.45">
      <c r="B168" s="65" t="s">
        <v>351</v>
      </c>
      <c r="E168" s="68">
        <v>2.5</v>
      </c>
    </row>
    <row r="169" spans="2:5" x14ac:dyDescent="0.45">
      <c r="B169" s="8" t="s">
        <v>348</v>
      </c>
      <c r="C169" s="1"/>
      <c r="D169" s="1"/>
      <c r="E169" s="145">
        <v>150</v>
      </c>
    </row>
    <row r="170" spans="2:5" x14ac:dyDescent="0.45">
      <c r="B170" s="65" t="s">
        <v>349</v>
      </c>
      <c r="E170" s="68">
        <v>38.659999999999997</v>
      </c>
    </row>
    <row r="171" spans="2:5" x14ac:dyDescent="0.45">
      <c r="B171" s="8" t="s">
        <v>352</v>
      </c>
      <c r="C171" s="1"/>
      <c r="D171" s="1"/>
      <c r="E171" s="145">
        <v>2.5</v>
      </c>
    </row>
    <row r="172" spans="2:5" x14ac:dyDescent="0.45">
      <c r="B172" s="2" t="s">
        <v>350</v>
      </c>
      <c r="E172" s="68">
        <v>150</v>
      </c>
    </row>
    <row r="173" spans="2:5" x14ac:dyDescent="0.45">
      <c r="B173" s="66" t="s">
        <v>357</v>
      </c>
      <c r="C173" s="66"/>
      <c r="D173" s="66"/>
      <c r="E173" s="153"/>
    </row>
    <row r="174" spans="2:5" ht="15.75" x14ac:dyDescent="0.45">
      <c r="B174" s="8" t="s">
        <v>358</v>
      </c>
      <c r="C174" s="1"/>
      <c r="D174" s="1"/>
      <c r="E174" s="148">
        <v>176.35</v>
      </c>
    </row>
  </sheetData>
  <sheetProtection algorithmName="SHA-512" hashValue="oApdnmCBsaJV92sovv+hV+1aJjEulJ87z9UUwchoj8ghAXe4tl4PirxGqPvw7GIjevK4eCJkFZflxmI0TfyO5Q==" saltValue="LRbhqz9sVKijlVpGdaSMUA==" spinCount="100000" sheet="1" objects="1" scenarios="1"/>
  <hyperlinks>
    <hyperlink ref="E1" location="Inicio!A1" display="Ir a inicio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37"/>
  <sheetViews>
    <sheetView showRowColHeaders="0" zoomScaleNormal="100" workbookViewId="0">
      <selection activeCell="C4" sqref="C4"/>
    </sheetView>
  </sheetViews>
  <sheetFormatPr baseColWidth="10" defaultRowHeight="14.25" x14ac:dyDescent="0.45"/>
  <cols>
    <col min="1" max="1" width="0.53125" style="1" customWidth="1"/>
    <col min="2" max="2" width="55.86328125" style="1" customWidth="1"/>
    <col min="3" max="3" width="26.19921875" style="1" customWidth="1"/>
    <col min="4" max="4" width="2.265625" style="22" customWidth="1"/>
    <col min="5" max="5" width="1" style="22" customWidth="1"/>
    <col min="6" max="6" width="0.796875" style="22" hidden="1" customWidth="1"/>
    <col min="7" max="7" width="6.640625E-2" style="22" hidden="1" customWidth="1"/>
    <col min="8" max="8" width="6.19921875" style="22" hidden="1" customWidth="1"/>
    <col min="9" max="9" width="1.13281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3">
        <f>L4-SUM(L27:L31)</f>
        <v>2333.1174429594084</v>
      </c>
      <c r="M3" s="73">
        <f>M4-SUM(M27:M31)</f>
        <v>2148.4893052435482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A4" s="22"/>
      <c r="B4" s="127" t="s">
        <v>268</v>
      </c>
      <c r="C4" s="42">
        <v>100</v>
      </c>
      <c r="D4" s="43" t="s">
        <v>134</v>
      </c>
      <c r="J4" s="167" t="s">
        <v>115</v>
      </c>
      <c r="K4" s="168"/>
      <c r="L4" s="157">
        <f>SUM(L6:L25)</f>
        <v>3230.7</v>
      </c>
      <c r="M4" s="157">
        <f>SUM(M6:M25)</f>
        <v>2699.5099999999998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A5" s="22"/>
      <c r="B5" s="127" t="s">
        <v>157</v>
      </c>
      <c r="C5" s="128"/>
      <c r="D5" s="4" t="s">
        <v>279</v>
      </c>
      <c r="E5" s="4"/>
      <c r="F5" s="4"/>
      <c r="G5" s="4"/>
      <c r="H5" s="4"/>
      <c r="I5" s="4"/>
      <c r="J5" s="169"/>
      <c r="K5" s="170"/>
      <c r="L5" s="158"/>
      <c r="M5" s="158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A6" s="22"/>
      <c r="B6" s="5" t="str">
        <f>T4</f>
        <v>Trienios A1</v>
      </c>
      <c r="C6" s="15">
        <v>0</v>
      </c>
      <c r="D6" s="4" t="s">
        <v>282</v>
      </c>
      <c r="E6" s="4"/>
      <c r="F6" s="4"/>
      <c r="G6" s="4"/>
      <c r="H6" s="4"/>
      <c r="I6" s="4"/>
      <c r="J6" s="56" t="s">
        <v>112</v>
      </c>
      <c r="K6" s="60"/>
      <c r="L6" s="52">
        <f>ROUND((C4/100)*Datos!E4,2)</f>
        <v>1387.24</v>
      </c>
      <c r="M6" s="52">
        <f>ROUND((C4/100)*Datos!E5,2)</f>
        <v>856.05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A7" s="22"/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H7" s="4"/>
      <c r="I7" s="4"/>
      <c r="J7" s="36" t="s">
        <v>113</v>
      </c>
      <c r="K7"/>
      <c r="L7" s="53">
        <f>ROUND(($C$4/100)*Datos!E8,2)</f>
        <v>873.38</v>
      </c>
      <c r="M7" s="53">
        <f>L7</f>
        <v>873.38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A8" s="22"/>
      <c r="B8" s="6" t="str">
        <f t="shared" si="0"/>
        <v>Trienios C1</v>
      </c>
      <c r="C8" s="16">
        <v>0</v>
      </c>
      <c r="D8" s="4"/>
      <c r="E8" s="4"/>
      <c r="F8" s="4"/>
      <c r="G8" s="4"/>
      <c r="H8" s="4"/>
      <c r="I8" s="4"/>
      <c r="J8" s="36" t="s">
        <v>114</v>
      </c>
      <c r="K8" s="61"/>
      <c r="L8" s="53">
        <f>ROUND(($C$4/100)*Datos!E12,2)</f>
        <v>970.08</v>
      </c>
      <c r="M8" s="53">
        <f>L8</f>
        <v>970.08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22"/>
      <c r="B9" s="6" t="str">
        <f t="shared" si="0"/>
        <v>Trienios C2</v>
      </c>
      <c r="C9" s="16">
        <v>0</v>
      </c>
      <c r="D9" s="4"/>
      <c r="E9" s="4"/>
      <c r="F9" s="4"/>
      <c r="G9" s="4"/>
      <c r="H9" s="4"/>
      <c r="I9" s="4"/>
      <c r="J9" s="36" t="s">
        <v>120</v>
      </c>
      <c r="K9" s="61"/>
      <c r="L9" s="53">
        <f>IF(SUM(C6:C10)&gt;0,ROUND(V12*C4/100,2),0)</f>
        <v>0</v>
      </c>
      <c r="M9" s="53">
        <f>W12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22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H10" s="4"/>
      <c r="I10" s="4"/>
      <c r="J10" s="36" t="s">
        <v>147</v>
      </c>
      <c r="K10" s="61"/>
      <c r="L10" s="53">
        <f>IF(C12=1,Datos!F26,IF(C12=2,Datos!F27,IF(C12=3,Datos!F28,IF(C12=4,Datos!F29,IF(C12=5,Datos!F30,0)))))</f>
        <v>0</v>
      </c>
      <c r="M10" s="53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05" t="s">
        <v>278</v>
      </c>
      <c r="C11" s="69" t="s">
        <v>279</v>
      </c>
      <c r="D11" s="4"/>
      <c r="E11" s="4"/>
      <c r="F11" s="4"/>
      <c r="G11" s="4"/>
      <c r="H11" s="4"/>
      <c r="I11" s="4"/>
      <c r="J11" s="36" t="s">
        <v>19</v>
      </c>
      <c r="K11" s="61"/>
      <c r="L11" s="53">
        <f>IF(C13=D14,ROUND(C4*MAX(E27:E32,G27:G32)/100,2),0)</f>
        <v>0</v>
      </c>
      <c r="M11" s="53">
        <f t="shared" ref="M11:M25" si="1">L11</f>
        <v>0</v>
      </c>
      <c r="Q11" s="22"/>
      <c r="R11" s="22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123</v>
      </c>
      <c r="C12" s="18">
        <v>0</v>
      </c>
      <c r="D12" s="4" t="str">
        <f>IF(OR(C13=D14,C13=D18,C13=D19,C13=D20),D14,"")</f>
        <v/>
      </c>
      <c r="E12" s="4"/>
      <c r="F12" s="4"/>
      <c r="G12" s="4"/>
      <c r="H12" s="4"/>
      <c r="I12" s="4"/>
      <c r="J12" s="36" t="s">
        <v>34</v>
      </c>
      <c r="K12" s="61"/>
      <c r="L12" s="53">
        <f>IF(C13=D16,ROUND(C4*MAX(F27:F31,H27:H31)/100,2),0)</f>
        <v>0</v>
      </c>
      <c r="M12" s="53">
        <f t="shared" si="1"/>
        <v>0</v>
      </c>
      <c r="Q12" s="22"/>
      <c r="R12" s="22"/>
      <c r="S12" s="4"/>
      <c r="T12" s="4" t="s">
        <v>122</v>
      </c>
      <c r="U12" s="4"/>
      <c r="V12" s="4">
        <f>SUM(V4:V9)</f>
        <v>0</v>
      </c>
      <c r="W12" s="4">
        <f>SUM(W4:W9)</f>
        <v>0</v>
      </c>
      <c r="X12" s="4"/>
      <c r="Y12" s="4"/>
      <c r="Z12" s="4"/>
      <c r="AA12" s="4"/>
      <c r="AB12" s="4"/>
      <c r="AC12" s="4"/>
    </row>
    <row r="13" spans="1:29" ht="14.65" thickBot="1" x14ac:dyDescent="0.5">
      <c r="A13" s="4"/>
      <c r="B13" s="129" t="s">
        <v>274</v>
      </c>
      <c r="C13" s="18" t="s">
        <v>135</v>
      </c>
      <c r="D13" s="4" t="s">
        <v>135</v>
      </c>
      <c r="E13" s="4"/>
      <c r="F13" s="4" t="s">
        <v>22</v>
      </c>
      <c r="G13" s="4" t="s">
        <v>130</v>
      </c>
      <c r="H13" s="4" t="s">
        <v>137</v>
      </c>
      <c r="I13" s="4"/>
      <c r="J13" s="36" t="s">
        <v>35</v>
      </c>
      <c r="K13" s="61"/>
      <c r="L13" s="87">
        <f>IF(C13=D15,ROUND(C4*MAX(F27:F31,H27:H31)/100,2),0)</f>
        <v>0</v>
      </c>
      <c r="M13" s="53">
        <f t="shared" si="1"/>
        <v>0</v>
      </c>
      <c r="N13" s="4">
        <f>IF(C12=1,Datos!#REF!,IF(C12=2,Datos!#REF!,IF(C12=3,Datos!#REF!,IF(C12=4,Datos!#REF!,IF(C12=5,Datos!#REF!,0)))))</f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65" thickBot="1" x14ac:dyDescent="0.5">
      <c r="A14" s="4"/>
      <c r="B14" s="129" t="s">
        <v>124</v>
      </c>
      <c r="C14" s="18"/>
      <c r="D14" s="4" t="s">
        <v>126</v>
      </c>
      <c r="E14" s="4"/>
      <c r="F14" s="4" t="s">
        <v>23</v>
      </c>
      <c r="G14" s="4" t="s">
        <v>131</v>
      </c>
      <c r="H14" s="4" t="s">
        <v>138</v>
      </c>
      <c r="I14" s="4"/>
      <c r="J14" s="36" t="s">
        <v>148</v>
      </c>
      <c r="K14" s="61"/>
      <c r="L14" s="53">
        <f>IF(C13=D17,ROUND(Datos!E77*'Catedráticos EOI'!C4/100,2),0)</f>
        <v>0</v>
      </c>
      <c r="M14" s="53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65" thickBot="1" x14ac:dyDescent="0.5">
      <c r="A15" s="4"/>
      <c r="B15" s="129" t="s">
        <v>48</v>
      </c>
      <c r="C15" s="18" t="s">
        <v>138</v>
      </c>
      <c r="D15" s="4" t="s">
        <v>127</v>
      </c>
      <c r="E15" s="4"/>
      <c r="F15" s="4" t="s">
        <v>24</v>
      </c>
      <c r="G15" s="4" t="s">
        <v>132</v>
      </c>
      <c r="H15" s="4"/>
      <c r="I15" s="4"/>
      <c r="J15" s="36" t="s">
        <v>273</v>
      </c>
      <c r="K15" s="61"/>
      <c r="L15" s="53">
        <f>IF(D21&gt;0,ROUND(C4*MAX(E27:E33,G27:G33)*D21/100,2),0)</f>
        <v>0</v>
      </c>
      <c r="M15" s="53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.1499999999999999" hidden="1" customHeight="1" thickBot="1" x14ac:dyDescent="0.5">
      <c r="A16" s="4"/>
      <c r="B16" s="23" t="s">
        <v>314</v>
      </c>
      <c r="C16" s="18" t="s">
        <v>138</v>
      </c>
      <c r="D16" s="4" t="s">
        <v>128</v>
      </c>
      <c r="E16" s="4"/>
      <c r="F16" s="4" t="s">
        <v>25</v>
      </c>
      <c r="G16" s="4" t="s">
        <v>133</v>
      </c>
      <c r="H16" s="4" t="s">
        <v>138</v>
      </c>
      <c r="I16" s="4"/>
      <c r="J16" s="36" t="str">
        <f>B17</f>
        <v>-</v>
      </c>
      <c r="K16" s="61"/>
      <c r="L16" s="53">
        <f>IF(C17="Sí",ROUND(Datos!E86*'Catedráticos EOI'!C4/100,2),0)</f>
        <v>0</v>
      </c>
      <c r="M16" s="53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3.9" hidden="1" customHeight="1" thickBot="1" x14ac:dyDescent="0.5">
      <c r="A17" s="4"/>
      <c r="B17" s="23" t="s">
        <v>314</v>
      </c>
      <c r="C17" s="18" t="s">
        <v>138</v>
      </c>
      <c r="D17" s="4" t="s">
        <v>136</v>
      </c>
      <c r="E17" s="4"/>
      <c r="F17" s="4" t="s">
        <v>26</v>
      </c>
      <c r="G17" s="4"/>
      <c r="H17" s="4" t="s">
        <v>139</v>
      </c>
      <c r="I17" s="4"/>
      <c r="J17" s="36" t="str">
        <f>B18</f>
        <v>.</v>
      </c>
      <c r="K17" s="61"/>
      <c r="L17" s="53">
        <f>IF(C18="Sí",ROUND(Datos!E87*'Catedráticos EOI'!C4/100,2),0)</f>
        <v>0</v>
      </c>
      <c r="M17" s="53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65" hidden="1" thickBot="1" x14ac:dyDescent="0.5">
      <c r="A18" s="4"/>
      <c r="B18" s="23" t="s">
        <v>315</v>
      </c>
      <c r="C18" s="18" t="s">
        <v>138</v>
      </c>
      <c r="D18" s="4" t="s">
        <v>275</v>
      </c>
      <c r="E18" s="4"/>
      <c r="F18" s="4" t="s">
        <v>27</v>
      </c>
      <c r="G18" s="4"/>
      <c r="H18" s="4" t="s">
        <v>140</v>
      </c>
      <c r="I18" s="4"/>
      <c r="J18" s="36" t="str">
        <f>B19</f>
        <v>.</v>
      </c>
      <c r="K18" s="61"/>
      <c r="L18" s="53">
        <f>IF(C19="Sí",ROUND(Datos!E89*'Catedráticos EOI'!C4/100,2),0)</f>
        <v>0</v>
      </c>
      <c r="M18" s="53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65" hidden="1" thickBot="1" x14ac:dyDescent="0.5">
      <c r="A19" s="4"/>
      <c r="B19" s="24" t="s">
        <v>315</v>
      </c>
      <c r="C19" s="95" t="s">
        <v>138</v>
      </c>
      <c r="D19" s="4" t="s">
        <v>276</v>
      </c>
      <c r="E19" s="4"/>
      <c r="F19" s="4"/>
      <c r="G19" s="4"/>
      <c r="H19" s="4" t="s">
        <v>141</v>
      </c>
      <c r="I19" s="4"/>
      <c r="J19" s="36" t="str">
        <f>B20</f>
        <v>.</v>
      </c>
      <c r="K19" s="61"/>
      <c r="L19" s="53">
        <f>IF(C20="Sí",ROUND(Datos!E90*'Catedráticos EOI'!C4/100,2),0)</f>
        <v>0</v>
      </c>
      <c r="M19" s="53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5.75" customHeight="1" thickBot="1" x14ac:dyDescent="0.5">
      <c r="A20" s="4"/>
      <c r="B20" s="105" t="s">
        <v>315</v>
      </c>
      <c r="C20" s="69" t="s">
        <v>138</v>
      </c>
      <c r="D20" s="4" t="s">
        <v>277</v>
      </c>
      <c r="E20" s="4"/>
      <c r="F20" s="4"/>
      <c r="G20" s="4"/>
      <c r="H20" s="4"/>
      <c r="I20" s="4"/>
      <c r="J20" s="36" t="s">
        <v>48</v>
      </c>
      <c r="K20" s="61"/>
      <c r="L20" s="53">
        <f>IF(C15="Sí",ROUND(Datos!E91*'Catedráticos EOI'!C4/100,2),0)</f>
        <v>0</v>
      </c>
      <c r="M20" s="53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0.4" hidden="1" customHeight="1" thickBot="1" x14ac:dyDescent="0.45">
      <c r="A21" s="4"/>
      <c r="B21" s="105" t="s">
        <v>315</v>
      </c>
      <c r="C21" s="69" t="s">
        <v>138</v>
      </c>
      <c r="D21" s="4">
        <f>IF(C13=D18,0.25,IF(C13=D19,0.4,IF(C13=D20,0.6,0)))</f>
        <v>0</v>
      </c>
      <c r="E21" s="4"/>
      <c r="F21" s="4"/>
      <c r="G21" s="4"/>
      <c r="H21" s="4"/>
      <c r="I21" s="4"/>
      <c r="J21" s="36" t="s">
        <v>270</v>
      </c>
      <c r="K21" s="61"/>
      <c r="L21" s="53">
        <f>IF(C22="Sí",ROUND(Datos!E97*'Catedráticos EOI'!C4/100,2),0)</f>
        <v>0</v>
      </c>
      <c r="M21" s="53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3.75" hidden="1" customHeight="1" thickBot="1" x14ac:dyDescent="0.45">
      <c r="A22" s="4"/>
      <c r="B22" s="105" t="s">
        <v>315</v>
      </c>
      <c r="C22" s="69" t="s">
        <v>138</v>
      </c>
      <c r="D22" s="4"/>
      <c r="E22" s="4"/>
      <c r="F22" s="4"/>
      <c r="G22" s="4"/>
      <c r="H22" s="4"/>
      <c r="I22" s="4"/>
      <c r="J22" s="36" t="s">
        <v>152</v>
      </c>
      <c r="K22" s="61"/>
      <c r="L22" s="53">
        <f>IF(C23="Sí",ROUND(C4*SUM(D23:D25)/100,2),0)</f>
        <v>0</v>
      </c>
      <c r="M22" s="53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idden="1" x14ac:dyDescent="0.45">
      <c r="A23" s="4"/>
      <c r="B23" s="105" t="s">
        <v>315</v>
      </c>
      <c r="C23" s="69" t="s">
        <v>138</v>
      </c>
      <c r="D23" s="4">
        <f>IF(C23="No",0,Datos!E102)</f>
        <v>0</v>
      </c>
      <c r="E23" s="4"/>
      <c r="F23" s="4"/>
      <c r="G23" s="4"/>
      <c r="H23" s="4"/>
      <c r="I23" s="4"/>
      <c r="J23" s="36" t="s">
        <v>153</v>
      </c>
      <c r="K23" s="61"/>
      <c r="L23" s="53">
        <f>IF(C26="Sí",ROUND(C4*MIN(D27:D36)/100,2),0)</f>
        <v>0</v>
      </c>
      <c r="M23" s="53">
        <f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2.4" hidden="1" customHeight="1" thickBot="1" x14ac:dyDescent="0.45">
      <c r="A24" s="4"/>
      <c r="B24" s="107" t="s">
        <v>314</v>
      </c>
      <c r="C24" s="69" t="s">
        <v>138</v>
      </c>
      <c r="D24" s="4">
        <f>IF(AND(C23="Sí",C24="Sí"),Datos!E103,0)</f>
        <v>0</v>
      </c>
      <c r="E24" s="4"/>
      <c r="F24" s="4"/>
      <c r="G24" s="4"/>
      <c r="H24" s="4"/>
      <c r="I24" s="4"/>
      <c r="K24" s="62"/>
      <c r="L24" s="53">
        <f>IF(D21&gt;0,ROUND(C4*MAX(E27:E33,G27:G33)*D21/100,2),0)</f>
        <v>0</v>
      </c>
      <c r="M24" s="53">
        <f>L24</f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3.75" hidden="1" customHeight="1" thickBot="1" x14ac:dyDescent="0.5">
      <c r="A25" s="4"/>
      <c r="B25" s="107" t="s">
        <v>314</v>
      </c>
      <c r="C25" s="69">
        <v>0</v>
      </c>
      <c r="D25" s="4">
        <f>IF(C23="Sí",C25*Datos!E104,0)</f>
        <v>0</v>
      </c>
      <c r="E25" s="4"/>
      <c r="F25" s="4"/>
      <c r="G25" s="4"/>
      <c r="H25" s="4"/>
      <c r="I25" s="4"/>
      <c r="J25" s="54"/>
      <c r="K25" s="63"/>
      <c r="L25" s="55">
        <f>IF(C21="Sí",ROUND(Datos!E92*C4/100,2),0)</f>
        <v>0</v>
      </c>
      <c r="M25" s="55">
        <f t="shared" si="1"/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x14ac:dyDescent="0.45">
      <c r="A26" s="4"/>
      <c r="B26" s="105" t="s">
        <v>145</v>
      </c>
      <c r="C26" s="69" t="s">
        <v>138</v>
      </c>
      <c r="D26" s="4"/>
      <c r="E26" s="4" t="s">
        <v>125</v>
      </c>
      <c r="F26" s="4" t="s">
        <v>154</v>
      </c>
      <c r="G26" s="4" t="s">
        <v>280</v>
      </c>
      <c r="H26" s="4" t="s">
        <v>281</v>
      </c>
      <c r="I26" s="4"/>
      <c r="J26" s="38" t="s">
        <v>162</v>
      </c>
      <c r="K26" s="39"/>
      <c r="L26" s="41"/>
      <c r="M26" s="39"/>
      <c r="Q26" s="22"/>
      <c r="R26" s="2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x14ac:dyDescent="0.45">
      <c r="A27" s="4"/>
      <c r="B27" s="107" t="s">
        <v>146</v>
      </c>
      <c r="C27" s="69">
        <v>0</v>
      </c>
      <c r="D27" s="4">
        <f>IF($C$27&lt;=50,Datos!E107,"")</f>
        <v>17.649999999999999</v>
      </c>
      <c r="E27" s="4" t="str">
        <f>IF(AND(C11=D5,$D12=$D$14,$C$14=F13),Datos!E64,"")</f>
        <v/>
      </c>
      <c r="F27" s="4" t="str">
        <f>IF(AND(OR($C$13=$D$15,$C$13=$D$16),$C$14=F13,C11=D5),Datos!E68,"")</f>
        <v/>
      </c>
      <c r="G27" s="4" t="str">
        <f>IF(AND(C11=D6,$D12=$D$14,$C$14=F13),Datos!E32,"")</f>
        <v/>
      </c>
      <c r="H27" s="4" t="str">
        <f>IF(AND(OR($C$13=$D$15,$C$13=$D$16),$C$14=F13,C11=D6),Datos!E38,"")</f>
        <v/>
      </c>
      <c r="I27" s="4"/>
      <c r="J27" s="7" t="s">
        <v>231</v>
      </c>
      <c r="K27" s="40"/>
      <c r="L27" s="20">
        <f>IF(OR(C29="Funcionario/a de carrera",C29="Funcionario/a en prácticas"),51.68,0)</f>
        <v>0</v>
      </c>
      <c r="M27" s="49">
        <f>L27</f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59" t="s">
        <v>233</v>
      </c>
      <c r="C28" s="160"/>
      <c r="D28" s="4">
        <f>IF($C$27&lt;=100,Datos!E108,"")</f>
        <v>35.32</v>
      </c>
      <c r="E28" s="4" t="str">
        <f>IF(AND(C11=D5,$D$12=$D$14,$C$14=F14),Datos!E65,"")</f>
        <v/>
      </c>
      <c r="F28" s="4" t="str">
        <f>IF(AND(OR($C$13=$D$15,$C$13=$D$16),$C$14=F14,C11=D5),Datos!E69,"")</f>
        <v/>
      </c>
      <c r="G28" s="4" t="str">
        <f>IF(AND(C11=D6,$D12=$D$14,$C$14=F14),Datos!E33,"")</f>
        <v/>
      </c>
      <c r="H28" s="4" t="str">
        <f>IF(AND(OR($C$13=$D$15,$C$13=$D$16),$C$14=F14,C11=D6),Datos!E39,"")</f>
        <v/>
      </c>
      <c r="I28" s="4"/>
      <c r="J28" s="7" t="s">
        <v>232</v>
      </c>
      <c r="K28" s="40"/>
      <c r="L28" s="20">
        <f>IF(AND(L27&gt;0,C30&lt;2011,C30&gt;0),118.04,0)</f>
        <v>0</v>
      </c>
      <c r="M28" s="49">
        <f>L28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29" t="s">
        <v>158</v>
      </c>
      <c r="C29" s="18" t="s">
        <v>161</v>
      </c>
      <c r="D29" s="4">
        <f>IF($C$27&lt;=150,Datos!E109,"")</f>
        <v>52.97</v>
      </c>
      <c r="E29" s="4" t="str">
        <f>IF(AND(C11=D5,$D$12=$D$14,$C$14=F15),Datos!E66,"")</f>
        <v/>
      </c>
      <c r="F29" s="4" t="str">
        <f>IF(AND(OR($C$13=$D$15,$C$13=$D$16),$C$14=F15,C11=D5),Datos!E70,"")</f>
        <v/>
      </c>
      <c r="G29" s="4" t="str">
        <f>IF(AND(C11=D6,$D12=$D$14,$C$14=F15),Datos!E34,"")</f>
        <v/>
      </c>
      <c r="H29" s="4" t="str">
        <f>IF(AND(OR($C$13=$D$15,$C$13=$D$16),$C$14=F15,C11=D6),Datos!E40,"")</f>
        <v/>
      </c>
      <c r="I29" s="4"/>
      <c r="J29" s="7" t="s">
        <v>163</v>
      </c>
      <c r="K29" s="40"/>
      <c r="L29" s="20">
        <f>IF(OR(C29=A36,AND(C29=A35,C30&gt;=2011)),(L4+(M4/6))*L68,0)</f>
        <v>0</v>
      </c>
      <c r="M29" s="9">
        <v>0</v>
      </c>
      <c r="P29" s="4"/>
      <c r="Q29" s="4"/>
      <c r="R29" s="4"/>
      <c r="S29" s="4"/>
      <c r="T29" s="4"/>
      <c r="U29" s="4"/>
      <c r="V29" s="4"/>
      <c r="W29" s="4"/>
    </row>
    <row r="30" spans="1:29" ht="14.65" thickBot="1" x14ac:dyDescent="0.5">
      <c r="A30" s="4"/>
      <c r="B30" s="129" t="str">
        <f>IF(C29=A35,"¿En qué año aprobaste la oposición?","")</f>
        <v/>
      </c>
      <c r="C30" s="18"/>
      <c r="D30" s="4">
        <f>IF($C$27&lt;=200,Datos!E110,"")</f>
        <v>70.64</v>
      </c>
      <c r="E30" s="4" t="str">
        <f>IF(AND(C11=D5,$D$12=$D$14,$C$14=F16),Datos!E67,"")</f>
        <v/>
      </c>
      <c r="F30" s="4" t="str">
        <f>IF(AND(OR($C$13=$D$15,$C$13=$D$16),$C$14=F16,C11=D5),Datos!E71,"")</f>
        <v/>
      </c>
      <c r="G30" s="4" t="str">
        <f>IF(AND(C11=D6,$D12=$D$14,$C$14=F13),Datos!E35,"")</f>
        <v/>
      </c>
      <c r="H30" s="4" t="str">
        <f>IF(AND(OR($C$13=$D$15,$C$13=$D$16),$C$14=F16,C11=D6),Datos!E41,"")</f>
        <v/>
      </c>
      <c r="I30" s="4"/>
      <c r="J30" s="7" t="s">
        <v>164</v>
      </c>
      <c r="K30" s="40"/>
      <c r="L30" s="46">
        <f>IF(C29=A37,L4*0.0647+M4*0.0647/6,0)</f>
        <v>238.13600616666662</v>
      </c>
      <c r="M30" s="9"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71" t="s">
        <v>169</v>
      </c>
      <c r="C31" s="172"/>
      <c r="D31" s="4">
        <f>IF($C$27&lt;=250,Datos!E111,"")</f>
        <v>88.29</v>
      </c>
      <c r="E31" s="4" t="str">
        <f>IF(AND($C$13=$D$14,$C$15&lt;&gt;"",$C$15&lt;&gt;$G$13,$C$14=F17),Datos!E36,"")</f>
        <v/>
      </c>
      <c r="F31" s="4"/>
      <c r="G31" s="4" t="str">
        <f>IF(AND(C11=D6,$D12=$D$14,$C$14=F16),Datos!E36,"")</f>
        <v/>
      </c>
      <c r="H31" s="4" t="str">
        <f>IF(AND(OR($C$13=$D$15,$C$13=$D$16),$C$14=F17,C11=D6),Datos!E42,"")</f>
        <v/>
      </c>
      <c r="I31" s="4"/>
      <c r="J31" s="14" t="s">
        <v>165</v>
      </c>
      <c r="K31" s="48">
        <f>L61</f>
        <v>0.20411878257774627</v>
      </c>
      <c r="L31" s="47">
        <f>L4*K31</f>
        <v>659.44655087392482</v>
      </c>
      <c r="M31" s="50">
        <f>M4*K31</f>
        <v>551.0206947564518</v>
      </c>
      <c r="O31" s="4"/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29" t="s">
        <v>171</v>
      </c>
      <c r="C32" s="18" t="s">
        <v>138</v>
      </c>
      <c r="D32" s="4">
        <f>IF($C$27&lt;=300,Datos!E112,"")</f>
        <v>105.96</v>
      </c>
      <c r="E32" s="4" t="str">
        <f>IF(AND($C$13=$D$14,$C$15&lt;&gt;"",$C$15&lt;&gt;$G$13,$C$14=F18),Datos!E37,"")</f>
        <v/>
      </c>
      <c r="F32" s="4"/>
      <c r="G32" s="4" t="str">
        <f>IF(AND(C11=D6,$D12=$D$14,$C$14=F17),Datos!E37,"")</f>
        <v/>
      </c>
      <c r="H32" s="4"/>
      <c r="I32" s="4"/>
      <c r="O32" s="4" t="s">
        <v>176</v>
      </c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191</v>
      </c>
      <c r="C33" s="116">
        <v>0</v>
      </c>
      <c r="D33" s="4">
        <f>IF($C$27&lt;=350,Datos!E113,"")</f>
        <v>123.62</v>
      </c>
      <c r="E33" s="4"/>
      <c r="F33" s="4" t="str">
        <f>IF(AND(OR($C$13=$D$15,$C$13=$D$16),$C$15&lt;&gt;"",$C$15&lt;&gt;$G$13,$C$14=F19),Datos!E44,"")</f>
        <v/>
      </c>
      <c r="G33" s="4" t="str">
        <f>IF(AND(C11=D6,$D12=$D$14,$C$14=F18),Datos!E38,"")</f>
        <v/>
      </c>
      <c r="H33" s="4"/>
      <c r="I33" s="4"/>
      <c r="O33" s="4" t="s">
        <v>177</v>
      </c>
      <c r="P33" s="4">
        <v>2400</v>
      </c>
      <c r="Q33" s="4">
        <v>2400</v>
      </c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190</v>
      </c>
      <c r="C34" s="116">
        <v>0</v>
      </c>
      <c r="D34" s="4">
        <f>IF($C$27&lt;=450,Datos!E114,"")</f>
        <v>141.27000000000001</v>
      </c>
      <c r="E34" s="4"/>
      <c r="F34" s="4"/>
      <c r="G34" s="4"/>
      <c r="H34" s="4"/>
      <c r="I34" s="4"/>
      <c r="J34" s="74" t="s">
        <v>167</v>
      </c>
      <c r="K34" s="75"/>
      <c r="L34" s="76"/>
      <c r="O34" s="4" t="s">
        <v>178</v>
      </c>
      <c r="P34" s="4">
        <v>2700</v>
      </c>
      <c r="Q34" s="4">
        <f>Q33+P34</f>
        <v>5100</v>
      </c>
      <c r="R34" s="4"/>
      <c r="S34" s="4"/>
      <c r="T34" s="4"/>
      <c r="U34" s="4"/>
      <c r="V34" s="4"/>
      <c r="W34" s="4"/>
    </row>
    <row r="35" spans="1:23" ht="14.65" thickBot="1" x14ac:dyDescent="0.5">
      <c r="A35" s="4" t="s">
        <v>159</v>
      </c>
      <c r="B35" s="41" t="s">
        <v>174</v>
      </c>
      <c r="C35" s="18">
        <v>0</v>
      </c>
      <c r="D35" s="4">
        <f>IF($C$27&lt;=450,Datos!E115,"")</f>
        <v>158.94</v>
      </c>
      <c r="E35" s="4"/>
      <c r="F35" s="4"/>
      <c r="G35" s="4"/>
      <c r="H35" s="4"/>
      <c r="I35" s="4"/>
      <c r="J35" s="36" t="s">
        <v>168</v>
      </c>
      <c r="K35" s="37"/>
      <c r="L35" s="70">
        <f>L4*12+M4*2</f>
        <v>44167.419999999991</v>
      </c>
      <c r="O35" s="4" t="s">
        <v>179</v>
      </c>
      <c r="P35" s="4">
        <v>4000</v>
      </c>
      <c r="Q35" s="4">
        <f>Q34+P35</f>
        <v>9100</v>
      </c>
      <c r="R35" s="4"/>
      <c r="S35" s="4"/>
      <c r="T35" s="4"/>
      <c r="U35" s="4"/>
      <c r="V35" s="4"/>
      <c r="W35" s="4"/>
    </row>
    <row r="36" spans="1:23" ht="14.75" customHeight="1" thickBot="1" x14ac:dyDescent="0.5">
      <c r="A36" s="4" t="s">
        <v>160</v>
      </c>
      <c r="B36" s="129" t="s">
        <v>173</v>
      </c>
      <c r="C36" s="18">
        <v>0</v>
      </c>
      <c r="D36" s="4">
        <f>IF($C$27&lt;=1000050,Datos!E116,"")</f>
        <v>176.59</v>
      </c>
      <c r="E36" s="4"/>
      <c r="F36" s="4"/>
      <c r="G36" s="4"/>
      <c r="H36" s="4"/>
      <c r="I36" s="4"/>
      <c r="J36" s="7" t="s">
        <v>259</v>
      </c>
      <c r="K36" s="8"/>
      <c r="L36" s="9">
        <f>IF(AND(C47="Sí",L35&lt;33007.2),TRUNC(L35*0.02),0)</f>
        <v>0</v>
      </c>
      <c r="M36" s="22"/>
      <c r="N36" s="22"/>
      <c r="O36" s="4" t="s">
        <v>180</v>
      </c>
      <c r="P36" s="4">
        <v>4500</v>
      </c>
      <c r="Q36" s="4"/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161</v>
      </c>
      <c r="B37" s="131" t="s">
        <v>196</v>
      </c>
      <c r="C37" s="18" t="s">
        <v>138</v>
      </c>
      <c r="D37" s="4" t="str">
        <f>IF(B69=A68,"Sí","No")</f>
        <v>No</v>
      </c>
      <c r="E37" s="4"/>
      <c r="F37" s="4"/>
      <c r="G37" s="4"/>
      <c r="H37" s="4"/>
      <c r="I37" s="4"/>
      <c r="J37" s="7" t="s">
        <v>265</v>
      </c>
      <c r="K37" s="8"/>
      <c r="L37" s="9">
        <f>IF(L35-L38&lt;14582,7302,IF(L35-L38&lt;17673.52,7302-(1.75*(L35-L38-14852)),IF(L35-L38&lt;19747.5,2364.34-(1.14*(L35-L38-17673.52)),0)))</f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182</v>
      </c>
      <c r="B38" s="129" t="s">
        <v>181</v>
      </c>
      <c r="C38" s="18" t="s">
        <v>182</v>
      </c>
      <c r="D38" s="4"/>
      <c r="E38" s="4"/>
      <c r="F38" s="4"/>
      <c r="G38" s="4"/>
      <c r="H38" s="4"/>
      <c r="I38" s="4"/>
      <c r="J38" s="36" t="s">
        <v>236</v>
      </c>
      <c r="K38" s="37"/>
      <c r="L38" s="70">
        <f>SUM(L27:L30)*14+SUM(M27:M30)*2</f>
        <v>3333.9040863333325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184</v>
      </c>
      <c r="B39" s="131" t="s">
        <v>189</v>
      </c>
      <c r="C39" s="18" t="s">
        <v>138</v>
      </c>
      <c r="D39" s="4"/>
      <c r="E39" s="4"/>
      <c r="F39" s="4"/>
      <c r="G39" s="4"/>
      <c r="H39" s="4"/>
      <c r="I39" s="4"/>
      <c r="J39" s="36" t="s">
        <v>241</v>
      </c>
      <c r="K39" s="37"/>
      <c r="L39" s="70">
        <f>C33+2000+M40</f>
        <v>2000</v>
      </c>
      <c r="M39" s="4"/>
      <c r="N39" s="4"/>
      <c r="O39" s="22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183</v>
      </c>
      <c r="B40" s="129" t="s">
        <v>192</v>
      </c>
      <c r="C40" s="18">
        <v>0</v>
      </c>
      <c r="D40" s="4"/>
      <c r="E40" s="4"/>
      <c r="F40" s="4"/>
      <c r="G40" s="4"/>
      <c r="H40" s="4"/>
      <c r="I40" s="4"/>
      <c r="J40" s="36" t="s">
        <v>170</v>
      </c>
      <c r="K40" s="37"/>
      <c r="L40" s="70">
        <f>IF(C32="Sí",1150+5550,5550)</f>
        <v>5550</v>
      </c>
      <c r="M40" s="4">
        <f>IF(AND(C38=A41,C39="No"),3500,IF(OR(C38=A40,C38=A41),7750,0))</f>
        <v>0</v>
      </c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x14ac:dyDescent="0.45">
      <c r="A41" s="4" t="s">
        <v>185</v>
      </c>
      <c r="B41" s="173" t="s">
        <v>207</v>
      </c>
      <c r="C41" s="175">
        <v>0</v>
      </c>
      <c r="D41" s="4"/>
      <c r="E41" s="4"/>
      <c r="F41" s="4"/>
      <c r="G41" s="4"/>
      <c r="H41" s="4"/>
      <c r="I41" s="4"/>
      <c r="J41" s="36" t="s">
        <v>172</v>
      </c>
      <c r="K41" s="37"/>
      <c r="L41" s="70">
        <f>SUM(C70:C73)</f>
        <v>0</v>
      </c>
      <c r="M41" s="4"/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/>
      <c r="B42" s="173"/>
      <c r="C42" s="176"/>
      <c r="D42" s="4"/>
      <c r="E42" s="4"/>
      <c r="F42" s="4"/>
      <c r="G42" s="4"/>
      <c r="H42" s="4"/>
      <c r="I42" s="4"/>
      <c r="J42" s="36" t="s">
        <v>175</v>
      </c>
      <c r="K42" s="37"/>
      <c r="L42" s="70">
        <f>IF(C37="no",M48/2+1400*C36,M48+2800*C36)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thickBot="1" x14ac:dyDescent="0.5">
      <c r="A43" s="4"/>
      <c r="B43" s="174"/>
      <c r="C43" s="177"/>
      <c r="D43" s="4"/>
      <c r="E43" s="4"/>
      <c r="F43" s="4"/>
      <c r="G43" s="4"/>
      <c r="H43" s="4"/>
      <c r="I43" s="4"/>
      <c r="J43" s="36" t="s">
        <v>186</v>
      </c>
      <c r="K43" s="37"/>
      <c r="L43" s="70">
        <f>IF(C38=A40,9000,IF(C38=A41,3000,0))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x14ac:dyDescent="0.45">
      <c r="A44" s="4"/>
      <c r="B44" s="178" t="s">
        <v>207</v>
      </c>
      <c r="C44" s="175">
        <v>0</v>
      </c>
      <c r="D44" s="4"/>
      <c r="E44" s="4"/>
      <c r="F44" s="4"/>
      <c r="G44" s="4"/>
      <c r="H44" s="4"/>
      <c r="I44" s="4"/>
      <c r="J44" s="36" t="s">
        <v>187</v>
      </c>
      <c r="K44" s="37"/>
      <c r="L44" s="70">
        <f>SUM(C74:C77)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3"/>
      <c r="C45" s="176"/>
      <c r="D45" s="4"/>
      <c r="E45" s="4"/>
      <c r="F45" s="4"/>
      <c r="G45" s="4"/>
      <c r="H45" s="4"/>
      <c r="I45" s="4"/>
      <c r="J45" s="36" t="s">
        <v>188</v>
      </c>
      <c r="K45" s="37"/>
      <c r="L45" s="70">
        <f>IF(C37="Sí",M50,M50/2)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thickBot="1" x14ac:dyDescent="0.5">
      <c r="A46" s="4"/>
      <c r="B46" s="174"/>
      <c r="C46" s="177"/>
      <c r="D46" s="4"/>
      <c r="E46" s="4"/>
      <c r="F46" s="4"/>
      <c r="G46" s="4"/>
      <c r="H46" s="4"/>
      <c r="I46" s="4"/>
      <c r="J46" s="36" t="s">
        <v>206</v>
      </c>
      <c r="K46" s="37"/>
      <c r="L46" s="70">
        <f>IF(OR(C39="Sí",C38=A40),3000,0)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22"/>
      <c r="B47" s="129" t="s">
        <v>267</v>
      </c>
      <c r="C47" s="18" t="s">
        <v>138</v>
      </c>
      <c r="D47" s="4"/>
      <c r="E47" s="4"/>
      <c r="F47" s="4"/>
      <c r="G47" s="4"/>
      <c r="H47" s="4"/>
      <c r="I47" s="4"/>
      <c r="J47" s="7" t="s">
        <v>208</v>
      </c>
      <c r="K47" s="8"/>
      <c r="L47" s="9">
        <f>SUM(L40:L46)</f>
        <v>5550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22"/>
      <c r="B48" s="129" t="s">
        <v>260</v>
      </c>
      <c r="C48" s="117"/>
      <c r="D48" s="4"/>
      <c r="E48" s="4"/>
      <c r="F48" s="4"/>
      <c r="G48" s="4"/>
      <c r="H48" s="4"/>
      <c r="I48" s="4"/>
      <c r="J48" s="7" t="s">
        <v>209</v>
      </c>
      <c r="K48" s="8"/>
      <c r="L48" s="9">
        <f>MAX(0,L35-L38-L39-L37)</f>
        <v>38833.515913666655</v>
      </c>
      <c r="M48" s="4">
        <f>IF(C35=1,Q33,IF(C35=2,Q34,IF(C35=3,Q35,IF(C35&lt;1,0,Q35+4500*(C35-3)))))</f>
        <v>0</v>
      </c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22"/>
      <c r="B49" s="25" t="s">
        <v>193</v>
      </c>
      <c r="C49" s="109"/>
      <c r="D49" s="4"/>
      <c r="E49" s="4"/>
      <c r="F49" s="4"/>
      <c r="G49" s="4"/>
      <c r="H49" s="4"/>
      <c r="I49" s="4"/>
      <c r="J49" s="7" t="s">
        <v>210</v>
      </c>
      <c r="K49" s="8"/>
      <c r="L49" s="9">
        <f>IF(L47&gt;12450,0,MAX(0,MIN(12450,L48)-L47))</f>
        <v>6900</v>
      </c>
      <c r="M49" s="4"/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22"/>
      <c r="B50" s="25" t="s">
        <v>194</v>
      </c>
      <c r="C50" s="109"/>
      <c r="D50" s="4"/>
      <c r="E50" s="4"/>
      <c r="F50" s="4"/>
      <c r="G50" s="4"/>
      <c r="H50" s="4"/>
      <c r="I50" s="4"/>
      <c r="J50" s="7" t="s">
        <v>211</v>
      </c>
      <c r="K50" s="8"/>
      <c r="L50" s="9">
        <f>IF(IF(L47&gt;20200,0,IF(L48&gt;20200,MIN(20200-L47,20200-12450),MIN(L48-L47,L48-12450)))&lt;0,0,IF(L47&gt;20200,0,IF(L48&gt;20200,MIN(20200-L47,20200-12450),MIN(L48-L47,L48-12450))))</f>
        <v>7750</v>
      </c>
      <c r="M50" s="4">
        <f>C40*12000+C41*6000+C44*3000</f>
        <v>0</v>
      </c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22"/>
      <c r="B51" s="25" t="s">
        <v>201</v>
      </c>
      <c r="C51" s="18"/>
      <c r="D51" s="4"/>
      <c r="E51" s="4"/>
      <c r="F51" s="4"/>
      <c r="G51" s="4"/>
      <c r="H51" s="4"/>
      <c r="I51" s="4"/>
      <c r="J51" s="7" t="s">
        <v>212</v>
      </c>
      <c r="K51" s="8"/>
      <c r="L51" s="9">
        <f>IF(IF(L47&gt;35200,0,IF(L48&gt;35200,MIN(35200-L47,35200-20200),MIN(L48-L47,L48-20200)))&lt;0,0,IF(L47&gt;35200,0,IF(L48&gt;35200,MIN(35200-L47,35200-20200),MIN(L48-L47,L48-20200))))</f>
        <v>15000</v>
      </c>
      <c r="M51" s="4"/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4"/>
      <c r="B52" s="26" t="s">
        <v>195</v>
      </c>
      <c r="C52" s="109"/>
      <c r="D52" s="4"/>
      <c r="E52" s="4"/>
      <c r="F52" s="4"/>
      <c r="G52" s="4"/>
      <c r="H52" s="4"/>
      <c r="I52" s="4"/>
      <c r="J52" s="7" t="s">
        <v>213</v>
      </c>
      <c r="K52" s="8"/>
      <c r="L52" s="9">
        <f>IF(IF(L47&gt;60000,0,IF(L48&gt;60000,MIN(35200-L47,60000-35200),MIN(L48-L47,L48-35200)))&lt;0,0,IF(L47&gt;60000,0,IF(L48&gt;60000,MIN(35200-L47,60000-35200),MIN(L48-L47,L48-35200))))</f>
        <v>3633.5159136666553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129" t="s">
        <v>261</v>
      </c>
      <c r="C53" s="117"/>
      <c r="H53" s="4"/>
      <c r="I53" s="4"/>
      <c r="J53" s="7" t="s">
        <v>214</v>
      </c>
      <c r="K53" s="8"/>
      <c r="L53" s="9">
        <f>IF(IF(L47&gt;30000,0,IF(L48&gt;300000,MIN(60000-L47,300000-60000),MIN(L48-L47,L48-60000)))&lt;0,0,IF(L47&gt;30000,0,IF(L48&gt;300000,MIN(60000-L47,300000-60000),MIN(L48-L47,L48-60000))))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25" t="s">
        <v>193</v>
      </c>
      <c r="C54" s="109"/>
      <c r="H54" s="4"/>
      <c r="I54" s="4"/>
      <c r="J54" s="7" t="s">
        <v>215</v>
      </c>
      <c r="K54" s="8"/>
      <c r="L54" s="9">
        <f>ROUND(L49*0.19,2)</f>
        <v>1311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194</v>
      </c>
      <c r="C55" s="109"/>
      <c r="G55" s="4"/>
      <c r="H55" s="4"/>
      <c r="I55" s="4"/>
      <c r="J55" s="7" t="s">
        <v>216</v>
      </c>
      <c r="K55" s="8"/>
      <c r="L55" s="9">
        <f>ROUND(L50*0.24,2)</f>
        <v>1860</v>
      </c>
      <c r="M55" s="4"/>
      <c r="N55" s="4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201</v>
      </c>
      <c r="C56" s="18"/>
      <c r="G56" s="4"/>
      <c r="H56" s="4"/>
      <c r="I56" s="4"/>
      <c r="J56" s="7" t="s">
        <v>217</v>
      </c>
      <c r="K56" s="8"/>
      <c r="L56" s="9">
        <f>ROUND(L51*0.3,2)</f>
        <v>4500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6" t="s">
        <v>195</v>
      </c>
      <c r="C57" s="109"/>
      <c r="G57" s="4"/>
      <c r="H57" s="4"/>
      <c r="I57" s="4"/>
      <c r="J57" s="7" t="s">
        <v>218</v>
      </c>
      <c r="K57" s="8"/>
      <c r="L57" s="9">
        <f>ROUND(L52*0.37,2)</f>
        <v>1344.4</v>
      </c>
      <c r="P57" s="4"/>
      <c r="Q57" s="4"/>
      <c r="R57" s="4"/>
      <c r="S57" s="4"/>
      <c r="T57" s="4"/>
      <c r="U57" s="4"/>
      <c r="V57" s="4"/>
      <c r="W57" s="4"/>
    </row>
    <row r="58" spans="1:23" ht="14.65" thickBot="1" x14ac:dyDescent="0.5">
      <c r="A58" s="4"/>
      <c r="B58" s="129" t="s">
        <v>262</v>
      </c>
      <c r="C58" s="117"/>
      <c r="G58" s="4"/>
      <c r="H58" s="4"/>
      <c r="I58" s="4"/>
      <c r="J58" s="7" t="s">
        <v>219</v>
      </c>
      <c r="K58" s="8"/>
      <c r="L58" s="9">
        <f>ROUND(L53*0.45,2)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25" t="s">
        <v>193</v>
      </c>
      <c r="C59" s="109"/>
      <c r="G59" s="4"/>
      <c r="H59" s="4"/>
      <c r="I59" s="4"/>
      <c r="J59" s="7" t="s">
        <v>266</v>
      </c>
      <c r="K59" s="8"/>
      <c r="L59" s="49">
        <f>SUM(L54:L58)</f>
        <v>9015.4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194</v>
      </c>
      <c r="C60" s="109"/>
      <c r="G60" s="4"/>
      <c r="H60" s="4"/>
      <c r="I60" s="4"/>
      <c r="J60" s="7" t="s">
        <v>264</v>
      </c>
      <c r="K60" s="8"/>
      <c r="L60" s="49">
        <f>MAX(0,C129-L36)</f>
        <v>9015.4008880566616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7" t="s">
        <v>201</v>
      </c>
      <c r="C61" s="18"/>
      <c r="G61" s="4"/>
      <c r="H61" s="4"/>
      <c r="I61" s="4"/>
      <c r="J61" s="80" t="s">
        <v>220</v>
      </c>
      <c r="K61" s="81"/>
      <c r="L61" s="82">
        <f>IF(M61&lt;0.02,0.02,M61)</f>
        <v>0.20411878257774627</v>
      </c>
      <c r="M61" s="4">
        <f>IF(L60&lt;L59,L60/L35,L59/L35)</f>
        <v>0.20411878257774627</v>
      </c>
    </row>
    <row r="62" spans="1:23" ht="14.65" thickBot="1" x14ac:dyDescent="0.5">
      <c r="A62" s="4"/>
      <c r="B62" s="26" t="s">
        <v>195</v>
      </c>
      <c r="C62" s="109"/>
      <c r="G62" s="4"/>
      <c r="H62" s="4"/>
      <c r="I62" s="4"/>
    </row>
    <row r="63" spans="1:23" ht="14.65" thickBot="1" x14ac:dyDescent="0.5">
      <c r="A63" s="4"/>
      <c r="B63" s="129" t="s">
        <v>263</v>
      </c>
      <c r="C63" s="117"/>
      <c r="G63" s="4"/>
      <c r="H63" s="4"/>
      <c r="I63" s="4"/>
      <c r="J63" s="74" t="s">
        <v>222</v>
      </c>
      <c r="K63" s="77"/>
      <c r="L63" s="78"/>
    </row>
    <row r="64" spans="1:23" ht="14.65" thickBot="1" x14ac:dyDescent="0.5">
      <c r="A64" s="4"/>
      <c r="B64" s="25" t="s">
        <v>193</v>
      </c>
      <c r="C64" s="109"/>
      <c r="G64" s="4"/>
      <c r="H64" s="4"/>
      <c r="I64" s="4"/>
      <c r="J64" s="7" t="s">
        <v>224</v>
      </c>
      <c r="L64" s="71">
        <v>4.7E-2</v>
      </c>
    </row>
    <row r="65" spans="1:12" ht="14.65" thickBot="1" x14ac:dyDescent="0.5">
      <c r="A65" s="4"/>
      <c r="B65" s="25" t="s">
        <v>194</v>
      </c>
      <c r="C65" s="109"/>
      <c r="G65" s="4"/>
      <c r="H65" s="4"/>
      <c r="I65" s="4"/>
      <c r="J65" s="7" t="s">
        <v>225</v>
      </c>
      <c r="L65" s="71">
        <v>1.1999999999999999E-3</v>
      </c>
    </row>
    <row r="66" spans="1:12" ht="14.65" thickBot="1" x14ac:dyDescent="0.5">
      <c r="A66" s="4"/>
      <c r="B66" s="27" t="s">
        <v>201</v>
      </c>
      <c r="C66" s="18"/>
      <c r="G66" s="4"/>
      <c r="H66" s="4"/>
      <c r="I66" s="4"/>
      <c r="J66" s="7" t="s">
        <v>230</v>
      </c>
      <c r="L66" s="71">
        <v>0.28299999999999997</v>
      </c>
    </row>
    <row r="67" spans="1:12" ht="14.65" thickBot="1" x14ac:dyDescent="0.5">
      <c r="A67" s="4"/>
      <c r="B67" s="27" t="s">
        <v>195</v>
      </c>
      <c r="C67" s="109"/>
      <c r="G67" s="4"/>
      <c r="H67" s="4"/>
      <c r="I67" s="4"/>
      <c r="J67" s="7" t="s">
        <v>229</v>
      </c>
      <c r="L67" s="40">
        <v>1.0999999999999999E-2</v>
      </c>
    </row>
    <row r="68" spans="1:12" ht="14.65" thickBot="1" x14ac:dyDescent="0.5">
      <c r="A68" s="30" t="s">
        <v>240</v>
      </c>
      <c r="B68" s="41" t="s">
        <v>237</v>
      </c>
      <c r="C68" s="69">
        <f>IF(B69=A68,1,IF(B69=A69,2,IF(B69=A70,3,0)))</f>
        <v>3</v>
      </c>
      <c r="G68" s="4"/>
      <c r="H68" s="4"/>
      <c r="I68" s="4"/>
      <c r="J68" s="80" t="s">
        <v>228</v>
      </c>
      <c r="K68" s="81"/>
      <c r="L68" s="83">
        <f>L64+L65-ROUND((L66*L67),4)</f>
        <v>4.5100000000000001E-2</v>
      </c>
    </row>
    <row r="69" spans="1:12" ht="42" customHeight="1" thickBot="1" x14ac:dyDescent="0.5">
      <c r="A69" s="30" t="s">
        <v>238</v>
      </c>
      <c r="B69" s="161" t="s">
        <v>239</v>
      </c>
      <c r="C69" s="162"/>
      <c r="G69" s="4"/>
      <c r="H69" s="4"/>
      <c r="I69" s="4"/>
    </row>
    <row r="70" spans="1:12" x14ac:dyDescent="0.45">
      <c r="A70" s="30" t="s">
        <v>239</v>
      </c>
      <c r="B70" s="4" t="s">
        <v>197</v>
      </c>
      <c r="C70" s="4">
        <f>IF(C49&gt;=75,ROUND((1150+1400)/C52,2),IF(C49&gt;=65,ROUND(1150/C52,2),0))</f>
        <v>0</v>
      </c>
      <c r="G70" s="4"/>
      <c r="H70" s="4"/>
      <c r="I70" s="4"/>
      <c r="J70" s="74" t="s">
        <v>223</v>
      </c>
      <c r="K70" s="77"/>
      <c r="L70" s="78"/>
    </row>
    <row r="71" spans="1:12" x14ac:dyDescent="0.45">
      <c r="A71" s="4"/>
      <c r="B71" s="4" t="s">
        <v>198</v>
      </c>
      <c r="C71" s="4">
        <f>IF(C54&gt;=75,ROUND((1150+1400)/C57,2),IF(C54&gt;=65,ROUND(1150/C57,2),0))</f>
        <v>0</v>
      </c>
      <c r="D71" s="4"/>
      <c r="E71" s="4"/>
      <c r="F71" s="4"/>
      <c r="G71" s="4"/>
      <c r="H71" s="4"/>
      <c r="I71" s="4"/>
      <c r="J71" s="7" t="s">
        <v>224</v>
      </c>
      <c r="L71" s="71">
        <v>4.7E-2</v>
      </c>
    </row>
    <row r="72" spans="1:12" x14ac:dyDescent="0.45">
      <c r="A72" s="4"/>
      <c r="B72" s="4" t="s">
        <v>199</v>
      </c>
      <c r="C72" s="4">
        <f>IF(C59&gt;=75,ROUND((1150+1400)/C62,2),IF(C59&gt;=65,ROUND(1150/C62,2),0))</f>
        <v>0</v>
      </c>
      <c r="D72" s="4"/>
      <c r="E72" s="4"/>
      <c r="F72" s="4"/>
      <c r="G72" s="4"/>
      <c r="H72" s="4"/>
      <c r="I72" s="4"/>
      <c r="J72" s="7" t="s">
        <v>225</v>
      </c>
      <c r="L72" s="71">
        <v>1.1999999999999999E-3</v>
      </c>
    </row>
    <row r="73" spans="1:12" x14ac:dyDescent="0.45">
      <c r="A73" s="4"/>
      <c r="B73" s="4" t="s">
        <v>200</v>
      </c>
      <c r="C73" s="4">
        <f>IF(C64&gt;=75,ROUND((1150+1400)/C67,2),IF(C64&gt;=65,ROUND(1150/C67,2),0))</f>
        <v>0</v>
      </c>
      <c r="D73" s="4"/>
      <c r="E73" s="4"/>
      <c r="F73" s="4"/>
      <c r="G73" s="4"/>
      <c r="H73" s="4"/>
      <c r="I73" s="4"/>
      <c r="J73" s="7" t="s">
        <v>226</v>
      </c>
      <c r="L73" s="71">
        <v>1.55E-2</v>
      </c>
    </row>
    <row r="74" spans="1:12" x14ac:dyDescent="0.45">
      <c r="B74" s="4" t="s">
        <v>202</v>
      </c>
      <c r="C74" s="4">
        <f>IF(C49&lt;65,0,IF(C50=A40,ROUND(12000/C52,2),IF(AND(C50=A41,C51="No"),ROUND(3000/C52,2),IF(AND(C50=A41,C51="Sí"),ROUND(6000/C52,2),""))))</f>
        <v>0</v>
      </c>
      <c r="D74" s="4"/>
      <c r="E74" s="4"/>
      <c r="F74" s="4"/>
      <c r="G74" s="4"/>
      <c r="H74" s="4"/>
      <c r="I74" s="4"/>
      <c r="J74" s="7" t="s">
        <v>227</v>
      </c>
      <c r="L74" s="71">
        <v>1E-3</v>
      </c>
    </row>
    <row r="75" spans="1:12" ht="14.65" thickBot="1" x14ac:dyDescent="0.5">
      <c r="B75" s="4" t="s">
        <v>203</v>
      </c>
      <c r="C75" s="4">
        <f>IF(C54&lt;65,0,IF(C55=A40,ROUND(12000/C57,2),IF(AND(C55=A41,C56="No"),ROUND(3000/C57,2),IF(AND(C55=A41,C56="Sí"),ROUND(6000/C57,2),""))))</f>
        <v>0</v>
      </c>
      <c r="D75" s="4"/>
      <c r="E75" s="4"/>
      <c r="F75" s="4"/>
      <c r="G75" s="4"/>
      <c r="H75" s="4"/>
      <c r="I75" s="4"/>
      <c r="J75" s="80" t="s">
        <v>228</v>
      </c>
      <c r="K75" s="81"/>
      <c r="L75" s="82">
        <f>SUM(L71:L74)</f>
        <v>6.4700000000000008E-2</v>
      </c>
    </row>
    <row r="76" spans="1:12" x14ac:dyDescent="0.45">
      <c r="B76" s="4" t="s">
        <v>204</v>
      </c>
      <c r="C76" s="4">
        <f>IF(C59&lt;65,0,IF(C60=A40,ROUND(12000/C62,2),IF(AND(C60=A41,C61="No"),ROUND(3000/C62,2),IF(AND(C60=A41,C61="Sí"),ROUND(6000/C62,2),""))))</f>
        <v>0</v>
      </c>
      <c r="D76" s="4"/>
      <c r="E76" s="4"/>
      <c r="F76" s="4"/>
      <c r="G76" s="4"/>
      <c r="H76" s="4"/>
      <c r="I76" s="4"/>
    </row>
    <row r="77" spans="1:12" x14ac:dyDescent="0.45">
      <c r="B77" s="4" t="s">
        <v>205</v>
      </c>
      <c r="C77" s="4">
        <f>IF(C64&lt;65,0,IF(C65=A40,ROUND(12000/C67,2),IF(AND(C65=A41,C66="No"),ROUND(3000/C67,2),IF(AND(C65=A41,C66="Sí"),ROUND(6000/C67,2),""))))</f>
        <v>0</v>
      </c>
      <c r="D77" s="4"/>
      <c r="E77" s="4"/>
      <c r="F77" s="4"/>
      <c r="G77" s="4"/>
      <c r="H77" s="4"/>
      <c r="I77" s="4"/>
    </row>
    <row r="78" spans="1:12" x14ac:dyDescent="0.45">
      <c r="B78" s="4"/>
      <c r="C78" s="4"/>
      <c r="I78" s="4"/>
    </row>
    <row r="79" spans="1:12" x14ac:dyDescent="0.45">
      <c r="B79" s="4" t="s">
        <v>242</v>
      </c>
      <c r="C79" s="4"/>
      <c r="I79" s="4"/>
    </row>
    <row r="80" spans="1:12" x14ac:dyDescent="0.45">
      <c r="B80" s="4" t="s">
        <v>243</v>
      </c>
      <c r="C80" s="33">
        <f>L48-C34</f>
        <v>38833.515913666655</v>
      </c>
      <c r="I80" s="4"/>
    </row>
    <row r="81" spans="2:9" x14ac:dyDescent="0.45">
      <c r="B81" s="4" t="s">
        <v>244</v>
      </c>
      <c r="C81" s="33">
        <f>C34</f>
        <v>0</v>
      </c>
      <c r="I81" s="4"/>
    </row>
    <row r="82" spans="2:9" x14ac:dyDescent="0.45">
      <c r="B82" s="4" t="s">
        <v>245</v>
      </c>
      <c r="C82" s="34">
        <f>MAX(B84:B89)</f>
        <v>10069.900888056662</v>
      </c>
      <c r="I82" s="4"/>
    </row>
    <row r="83" spans="2:9" x14ac:dyDescent="0.45">
      <c r="B83" s="4" t="s">
        <v>247</v>
      </c>
      <c r="C83" s="4"/>
      <c r="I83" s="4"/>
    </row>
    <row r="84" spans="2:9" x14ac:dyDescent="0.45">
      <c r="B84" s="4" t="str">
        <f>IF(C80&lt;12450,0+(C80)*0.19,"")</f>
        <v/>
      </c>
      <c r="C84" s="4"/>
      <c r="I84" s="4"/>
    </row>
    <row r="85" spans="2:9" x14ac:dyDescent="0.45">
      <c r="B85" s="4" t="str">
        <f>IF(AND(C80&gt;=12450,C80&lt;20200),2365.5+(C80-12450)*0.24,"")</f>
        <v/>
      </c>
      <c r="C85" s="4"/>
      <c r="I85" s="4"/>
    </row>
    <row r="86" spans="2:9" x14ac:dyDescent="0.45">
      <c r="B86" s="4" t="str">
        <f>IF(AND(C80&gt;=20200,C80&lt;35200),4225.5+(C80-20200)*0.3,"")</f>
        <v/>
      </c>
      <c r="C86" s="4"/>
      <c r="I86" s="4"/>
    </row>
    <row r="87" spans="2:9" x14ac:dyDescent="0.45">
      <c r="B87" s="4">
        <f>IF(AND(C80&gt;=35200,C80&lt;60000),8725.5+(C80-35200)*0.37,"")</f>
        <v>10069.900888056662</v>
      </c>
      <c r="C87" s="4"/>
      <c r="I87" s="4"/>
    </row>
    <row r="88" spans="2:9" x14ac:dyDescent="0.45">
      <c r="B88" s="4" t="str">
        <f>IF(AND(C80&gt;=60000,C80&lt;300000),17901.5+(C80-60000)*0.45,"")</f>
        <v/>
      </c>
      <c r="C88" s="4"/>
      <c r="I88" s="4"/>
    </row>
    <row r="89" spans="2:9" x14ac:dyDescent="0.45">
      <c r="B89" s="4" t="str">
        <f>IF(C80&gt;300000,125901.5+(C80-300000)*0.47,"")</f>
        <v/>
      </c>
      <c r="C89" s="4"/>
      <c r="I89" s="4"/>
    </row>
    <row r="90" spans="2:9" x14ac:dyDescent="0.45">
      <c r="B90" s="4" t="s">
        <v>246</v>
      </c>
      <c r="C90" s="34">
        <f>MAX(B91:B96)</f>
        <v>0</v>
      </c>
      <c r="I90" s="4"/>
    </row>
    <row r="91" spans="2:9" x14ac:dyDescent="0.45">
      <c r="B91" s="4">
        <f>IF(C81&lt;12450,0+(C81)*0.19,"")</f>
        <v>0</v>
      </c>
      <c r="C91" s="4"/>
      <c r="I91" s="4"/>
    </row>
    <row r="92" spans="2:9" x14ac:dyDescent="0.45">
      <c r="B92" s="4" t="str">
        <f>IF(AND(C81&gt;=12450,C81&lt;20200),2365.5+(C81-12450)*0.24,"")</f>
        <v/>
      </c>
      <c r="C92" s="4"/>
      <c r="I92" s="4"/>
    </row>
    <row r="93" spans="2:9" x14ac:dyDescent="0.45">
      <c r="B93" s="4" t="str">
        <f>IF(AND(C81&gt;=20200,C81&lt;35200),4225.5+(C81-20200)*0.3,"")</f>
        <v/>
      </c>
      <c r="C93" s="4"/>
      <c r="I93" s="4"/>
    </row>
    <row r="94" spans="2:9" x14ac:dyDescent="0.45">
      <c r="B94" s="4" t="str">
        <f>IF(AND(C81&gt;=35200,C81&lt;60000),8725.5+(C81-35200)*0.37,"")</f>
        <v/>
      </c>
      <c r="C94" s="4"/>
      <c r="I94" s="4"/>
    </row>
    <row r="95" spans="2:9" x14ac:dyDescent="0.45">
      <c r="B95" s="4" t="str">
        <f>IF(AND(C81&gt;=60000,C81&lt;300000),17901.5+(C81-60000)*0.45,"")</f>
        <v/>
      </c>
      <c r="C95" s="4"/>
    </row>
    <row r="96" spans="2:9" x14ac:dyDescent="0.45">
      <c r="B96" s="4" t="str">
        <f>IF(C81&gt;300000,125901.5+(C81-300000)*0.47,"")</f>
        <v/>
      </c>
      <c r="C96" s="4"/>
    </row>
    <row r="97" spans="2:3" x14ac:dyDescent="0.45">
      <c r="B97" s="4" t="s">
        <v>248</v>
      </c>
      <c r="C97" s="33">
        <f>IF(AND(C34&gt;0,L48-C34&gt;0),C90+C82,C107)</f>
        <v>10069.900888056662</v>
      </c>
    </row>
    <row r="98" spans="2:3" x14ac:dyDescent="0.45">
      <c r="B98" s="4" t="s">
        <v>249</v>
      </c>
      <c r="C98" s="34">
        <f>IF(AND(C34&gt;0,L48-C34&gt;0),L47+1980,L47)</f>
        <v>5550</v>
      </c>
    </row>
    <row r="99" spans="2:3" x14ac:dyDescent="0.45">
      <c r="B99" s="4" t="s">
        <v>250</v>
      </c>
      <c r="C99" s="34">
        <f>MAX(B100:B105)</f>
        <v>1054.5</v>
      </c>
    </row>
    <row r="100" spans="2:3" x14ac:dyDescent="0.45">
      <c r="B100" s="4">
        <f>IF(C98&lt;12450,0+(C98)*0.19,"")</f>
        <v>1054.5</v>
      </c>
      <c r="C100" s="4"/>
    </row>
    <row r="101" spans="2:3" x14ac:dyDescent="0.45">
      <c r="B101" s="4" t="str">
        <f>IF(AND(C98&gt;=12450,C98&lt;20200),2365.5+(C98-12450)*0.24,"")</f>
        <v/>
      </c>
      <c r="C101" s="4"/>
    </row>
    <row r="102" spans="2:3" x14ac:dyDescent="0.45">
      <c r="B102" s="4" t="str">
        <f>IF(AND(C98&gt;=20200,C98&lt;35200),4225.5+(C98-20200)*0.3,"")</f>
        <v/>
      </c>
      <c r="C102" s="4"/>
    </row>
    <row r="103" spans="2:3" x14ac:dyDescent="0.45">
      <c r="B103" s="4" t="str">
        <f>IF(AND(C98&gt;=35200,C98&lt;60000),8725.5+(C98-35200)*0.37,"")</f>
        <v/>
      </c>
      <c r="C103" s="4"/>
    </row>
    <row r="104" spans="2:3" x14ac:dyDescent="0.45">
      <c r="B104" s="4" t="str">
        <f>IF(AND(C98&gt;=60000,C98&lt;300000),17901.5+(C98-60000)*0.45,"")</f>
        <v/>
      </c>
      <c r="C104" s="4"/>
    </row>
    <row r="105" spans="2:3" x14ac:dyDescent="0.45">
      <c r="B105" s="4" t="str">
        <f>IF(C98&gt;300000,125901.5+(C98-300000)*0.47,"")</f>
        <v/>
      </c>
      <c r="C105" s="4"/>
    </row>
    <row r="106" spans="2:3" x14ac:dyDescent="0.45">
      <c r="B106" s="4" t="s">
        <v>251</v>
      </c>
      <c r="C106" s="35">
        <f>IF(C97&gt;C99,C97-C99,L59)</f>
        <v>9015.4008880566616</v>
      </c>
    </row>
    <row r="107" spans="2:3" x14ac:dyDescent="0.45">
      <c r="B107" s="4" t="s">
        <v>252</v>
      </c>
      <c r="C107" s="34">
        <f>MAX(B108:B114)</f>
        <v>10069.900888056662</v>
      </c>
    </row>
    <row r="108" spans="2:3" x14ac:dyDescent="0.45">
      <c r="B108" s="4" t="str">
        <f>IF(L48&lt;12450,0+(L48)*0.19,"")</f>
        <v/>
      </c>
      <c r="C108" s="4"/>
    </row>
    <row r="109" spans="2:3" x14ac:dyDescent="0.45">
      <c r="B109" s="4" t="str">
        <f>IF(AND(L48&gt;=12450,L48&lt;20200),2365.5+(L48-12450)*0.24,"")</f>
        <v/>
      </c>
      <c r="C109" s="4"/>
    </row>
    <row r="110" spans="2:3" x14ac:dyDescent="0.45">
      <c r="B110" s="4" t="str">
        <f>IF(AND(L48&gt;=20200,L48&lt;35200),4225.5+(L48-20200)*0.3,"")</f>
        <v/>
      </c>
      <c r="C110" s="4"/>
    </row>
    <row r="111" spans="2:3" x14ac:dyDescent="0.45">
      <c r="B111" s="4">
        <f>IF(AND(L48&gt;=35200,L48&lt;60000),8725.5+(L48-35200)*0.37,"")</f>
        <v>10069.900888056662</v>
      </c>
      <c r="C111" s="4"/>
    </row>
    <row r="112" spans="2:3" x14ac:dyDescent="0.45">
      <c r="B112" s="4" t="str">
        <f>IF(AND(L48&gt;=60000,L48&lt;300000),17901.5+(L48-60000)*0.45,"")</f>
        <v/>
      </c>
      <c r="C112" s="4"/>
    </row>
    <row r="113" spans="2:3" x14ac:dyDescent="0.45">
      <c r="B113" s="4" t="str">
        <f>IF(L48&gt;300000,125901.5+(L48-300000)*0.47,"")</f>
        <v/>
      </c>
      <c r="C113" s="4"/>
    </row>
    <row r="114" spans="2:3" x14ac:dyDescent="0.45">
      <c r="B114" s="4"/>
      <c r="C114" s="4"/>
    </row>
    <row r="115" spans="2:3" x14ac:dyDescent="0.45">
      <c r="B115" s="4"/>
      <c r="C115" s="4"/>
    </row>
    <row r="116" spans="2:3" x14ac:dyDescent="0.45">
      <c r="B116" s="4" t="s">
        <v>253</v>
      </c>
      <c r="C116" s="4"/>
    </row>
    <row r="117" spans="2:3" x14ac:dyDescent="0.45">
      <c r="B117" s="4" t="s">
        <v>255</v>
      </c>
      <c r="C117" s="4"/>
    </row>
    <row r="118" spans="2:3" x14ac:dyDescent="0.45">
      <c r="B118" s="4" t="s">
        <v>254</v>
      </c>
      <c r="C118" s="4"/>
    </row>
    <row r="119" spans="2:3" x14ac:dyDescent="0.45">
      <c r="B119" s="4">
        <f>IF(AND(L35&lt;=35200,C68=1,C35=1),(L35-(17270+C118+C119))*0.43,0)</f>
        <v>0</v>
      </c>
      <c r="C119" s="4"/>
    </row>
    <row r="120" spans="2:3" x14ac:dyDescent="0.45">
      <c r="B120" s="4">
        <f>IF(AND(L35&lt;=35200,C68=1,C35&gt;1),(L35-(18617+C118+C119))*0.43,0)</f>
        <v>0</v>
      </c>
      <c r="C120" s="4"/>
    </row>
    <row r="121" spans="2:3" x14ac:dyDescent="0.45">
      <c r="B121" s="4">
        <f>IF(AND(L35&lt;=35200,C68=2,C35=0),(L35-(16696+C118+C119))*0.43,0)</f>
        <v>0</v>
      </c>
      <c r="C121" s="4"/>
    </row>
    <row r="122" spans="2:3" x14ac:dyDescent="0.45">
      <c r="B122" s="4">
        <f>IF(AND(L35&lt;=35200,C68=2,C35=1),(L35-(17894+C118+C119))*0.43,0)</f>
        <v>0</v>
      </c>
      <c r="C122" s="4"/>
    </row>
    <row r="123" spans="2:3" x14ac:dyDescent="0.45">
      <c r="B123" s="4">
        <f>IF(AND(L35&lt;=35200,C68=2,C35&gt;1),(L35-(19241+C118+C119))*0.43,0)</f>
        <v>0</v>
      </c>
      <c r="C123" s="4"/>
    </row>
    <row r="124" spans="2:3" x14ac:dyDescent="0.45">
      <c r="B124" s="4">
        <f>IF(AND(L35&lt;=35200,C68=3,C35=0),(L35-(15000+C118+C119))*0.43,0)</f>
        <v>0</v>
      </c>
      <c r="C124" s="4"/>
    </row>
    <row r="125" spans="2:3" x14ac:dyDescent="0.45">
      <c r="B125" s="4">
        <f>IF(AND(L35&lt;=35200,C68=3,C35=1),(L35-(15599+C118+C119))*0.43,0)</f>
        <v>0</v>
      </c>
      <c r="C125" s="4"/>
    </row>
    <row r="126" spans="2:3" x14ac:dyDescent="0.45">
      <c r="B126" s="4">
        <f>IF(AND(L35&lt;=35200,C68=3,C35&gt;1),(L35-(16272+C118+C119))*0.43,0)</f>
        <v>0</v>
      </c>
      <c r="C126" s="4"/>
    </row>
    <row r="127" spans="2:3" x14ac:dyDescent="0.45">
      <c r="B127" s="4" t="s">
        <v>257</v>
      </c>
      <c r="C127" s="4" t="str">
        <f>IF(MAX(B119:B126)&gt;0,"Sí","No")</f>
        <v>No</v>
      </c>
    </row>
    <row r="128" spans="2:3" x14ac:dyDescent="0.45">
      <c r="B128" s="4" t="s">
        <v>258</v>
      </c>
      <c r="C128" s="4">
        <f>MAX(B119:B126)</f>
        <v>0</v>
      </c>
    </row>
    <row r="129" spans="2:3" x14ac:dyDescent="0.45">
      <c r="B129" s="4" t="s">
        <v>256</v>
      </c>
      <c r="C129" s="35">
        <f>IF(C127="No",C106,IF(C106&gt;C128,C128,C106))</f>
        <v>9015.4008880566616</v>
      </c>
    </row>
    <row r="130" spans="2:3" x14ac:dyDescent="0.45">
      <c r="B130" s="4"/>
      <c r="C130" s="4"/>
    </row>
    <row r="131" spans="2:3" x14ac:dyDescent="0.45">
      <c r="B131" s="4"/>
      <c r="C131" s="4"/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</sheetData>
  <sheetProtection algorithmName="SHA-512" hashValue="zyVrnLmWcBD9iK+hHgtqgTjQ1CqY6KL4hRz3yAtrY4Mr9/Uj1kUynN34w2qG4cCtiHqzbRNzdqiFLxsUkTJNug==" saltValue="KkGRozbUpG1PL/hdj/hdNg==" spinCount="100000" sheet="1" objects="1" scenarios="1"/>
  <mergeCells count="13">
    <mergeCell ref="J2:K2"/>
    <mergeCell ref="M4:M5"/>
    <mergeCell ref="B28:C28"/>
    <mergeCell ref="B69:C69"/>
    <mergeCell ref="B3:C3"/>
    <mergeCell ref="J3:K3"/>
    <mergeCell ref="J4:K5"/>
    <mergeCell ref="L4:L5"/>
    <mergeCell ref="B31:C31"/>
    <mergeCell ref="B41:B43"/>
    <mergeCell ref="C41:C43"/>
    <mergeCell ref="B44:B46"/>
    <mergeCell ref="C44:C46"/>
  </mergeCells>
  <dataValidations count="18">
    <dataValidation type="list" allowBlank="1" showInputMessage="1" showErrorMessage="1" sqref="C11" xr:uid="{00000000-0002-0000-0800-000000000000}">
      <formula1>$D$5:$D$6</formula1>
    </dataValidation>
    <dataValidation type="whole" allowBlank="1" showInputMessage="1" showErrorMessage="1" sqref="C6:C10" xr:uid="{00000000-0002-0000-0800-000001000000}">
      <formula1>0</formula1>
      <formula2>14</formula2>
    </dataValidation>
    <dataValidation type="whole" allowBlank="1" showInputMessage="1" showErrorMessage="1" sqref="C12" xr:uid="{00000000-0002-0000-0800-000002000000}">
      <formula1>0</formula1>
      <formula2>5</formula2>
    </dataValidation>
    <dataValidation type="decimal" allowBlank="1" showInputMessage="1" showErrorMessage="1" sqref="C4:C5" xr:uid="{00000000-0002-0000-0800-000003000000}">
      <formula1>0</formula1>
      <formula2>100</formula2>
    </dataValidation>
    <dataValidation type="list" allowBlank="1" showInputMessage="1" showErrorMessage="1" sqref="C13" xr:uid="{00000000-0002-0000-0800-000004000000}">
      <formula1>$D$13:$D$20</formula1>
    </dataValidation>
    <dataValidation type="list" allowBlank="1" showInputMessage="1" showErrorMessage="1" sqref="C14" xr:uid="{00000000-0002-0000-0800-000005000000}">
      <formula1>$F$13:$F$18</formula1>
    </dataValidation>
    <dataValidation type="list" allowBlank="1" showInputMessage="1" showErrorMessage="1" sqref="C26 C47 C66 C61 C56 C51 C39 C37 C32 C15:C24" xr:uid="{00000000-0002-0000-0800-000006000000}">
      <formula1>$H$13:$H$14</formula1>
    </dataValidation>
    <dataValidation type="whole" allowBlank="1" showInputMessage="1" showErrorMessage="1" sqref="C25" xr:uid="{00000000-0002-0000-0800-000007000000}">
      <formula1>0</formula1>
      <formula2>30</formula2>
    </dataValidation>
    <dataValidation type="whole" allowBlank="1" showInputMessage="1" showErrorMessage="1" sqref="C27" xr:uid="{00000000-0002-0000-0800-000008000000}">
      <formula1>0</formula1>
      <formula2>10000</formula2>
    </dataValidation>
    <dataValidation type="list" allowBlank="1" showInputMessage="1" showErrorMessage="1" sqref="C29" xr:uid="{00000000-0002-0000-0800-00000A000000}">
      <formula1>$A$35:$A$37</formula1>
    </dataValidation>
    <dataValidation type="whole" allowBlank="1" showInputMessage="1" showErrorMessage="1" sqref="C35" xr:uid="{00000000-0002-0000-0800-00000B000000}">
      <formula1>0</formula1>
      <formula2>100</formula2>
    </dataValidation>
    <dataValidation type="whole" allowBlank="1" showInputMessage="1" showErrorMessage="1" sqref="C36 C40:C41" xr:uid="{00000000-0002-0000-0800-00000C000000}">
      <formula1>0</formula1>
      <formula2>C35</formula2>
    </dataValidation>
    <dataValidation type="whole" allowBlank="1" showInputMessage="1" showErrorMessage="1" sqref="C49 C54 C59 C64" xr:uid="{00000000-0002-0000-0800-00000D000000}">
      <formula1>18</formula1>
      <formula2>130</formula2>
    </dataValidation>
    <dataValidation type="whole" allowBlank="1" showInputMessage="1" showErrorMessage="1" sqref="C52 C57 C62 C67" xr:uid="{00000000-0002-0000-0800-00000E000000}">
      <formula1>0</formula1>
      <formula2>20</formula2>
    </dataValidation>
    <dataValidation type="whole" allowBlank="1" showInputMessage="1" showErrorMessage="1" sqref="C44" xr:uid="{00000000-0002-0000-0800-00000F000000}">
      <formula1>0</formula1>
      <formula2>C40</formula2>
    </dataValidation>
    <dataValidation type="list" allowBlank="1" showInputMessage="1" showErrorMessage="1" sqref="C38 C60 C50 C55 C65" xr:uid="{00000000-0002-0000-0800-000010000000}">
      <formula1>$A$38:$A$42</formula1>
    </dataValidation>
    <dataValidation type="list" allowBlank="1" showInputMessage="1" showErrorMessage="1" sqref="B69" xr:uid="{00000000-0002-0000-0800-000011000000}">
      <formula1>$A$68:$A$70</formula1>
    </dataValidation>
    <dataValidation type="whole" allowBlank="1" showInputMessage="1" showErrorMessage="1" sqref="C30" xr:uid="{1F0FEDFE-8D49-4795-BB36-A28AD91C3873}">
      <formula1>1980</formula1>
      <formula2>2024</formula2>
    </dataValidation>
  </dataValidations>
  <hyperlinks>
    <hyperlink ref="B2" location="Inicio!A1" display="Ir a inicio" xr:uid="{00000000-0004-0000-08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39"/>
  <sheetViews>
    <sheetView showRowColHeaders="0" zoomScaleNormal="100" workbookViewId="0">
      <selection activeCell="C29" sqref="C29"/>
    </sheetView>
  </sheetViews>
  <sheetFormatPr baseColWidth="10" defaultRowHeight="14.25" x14ac:dyDescent="0.45"/>
  <cols>
    <col min="1" max="1" width="0.46484375" style="1" customWidth="1"/>
    <col min="2" max="2" width="55.86328125" style="1" customWidth="1"/>
    <col min="3" max="3" width="26.19921875" style="1" customWidth="1"/>
    <col min="4" max="4" width="2.19921875" style="1" customWidth="1"/>
    <col min="5" max="5" width="1.3984375" style="1" hidden="1" customWidth="1"/>
    <col min="6" max="6" width="0.33203125" style="1" hidden="1" customWidth="1"/>
    <col min="7" max="7" width="0.73046875" style="1" hidden="1" customWidth="1"/>
    <col min="8" max="8" width="2.06640625" style="22" customWidth="1"/>
    <col min="9" max="9" width="0.6640625" style="1" customWidth="1"/>
    <col min="10" max="10" width="10.6640625" style="1"/>
    <col min="11" max="11" width="41.33203125" style="1" customWidth="1"/>
    <col min="12" max="12" width="17.73046875" style="1" customWidth="1"/>
    <col min="13" max="13" width="17.9296875" style="1" customWidth="1"/>
    <col min="14" max="14" width="5.3984375" style="1" customWidth="1"/>
    <col min="15" max="15" width="4.73046875" style="1" customWidth="1"/>
    <col min="16" max="16384" width="10.6640625" style="1"/>
  </cols>
  <sheetData>
    <row r="1" spans="1:29" ht="118.5" customHeight="1" thickBot="1" x14ac:dyDescent="0.5">
      <c r="C1"/>
      <c r="J1" s="126"/>
      <c r="O1"/>
    </row>
    <row r="2" spans="1:29" ht="19.149999999999999" customHeight="1" thickBot="1" x14ac:dyDescent="0.7">
      <c r="B2" s="85" t="s">
        <v>287</v>
      </c>
      <c r="J2" s="155" t="s">
        <v>360</v>
      </c>
      <c r="K2" s="156"/>
      <c r="L2" s="28" t="s">
        <v>235</v>
      </c>
      <c r="M2" s="29" t="s">
        <v>166</v>
      </c>
      <c r="Q2" s="22"/>
      <c r="R2" s="22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8.25" customHeight="1" thickBot="1" x14ac:dyDescent="0.7">
      <c r="B3" s="163" t="s">
        <v>234</v>
      </c>
      <c r="C3" s="164"/>
      <c r="J3" s="165" t="s">
        <v>221</v>
      </c>
      <c r="K3" s="166"/>
      <c r="L3" s="72">
        <f>L4-SUM(L29:L33)</f>
        <v>2003.8014333623009</v>
      </c>
      <c r="M3" s="72">
        <f>M4-SUM(M29:M33)</f>
        <v>1938.8945688261931</v>
      </c>
      <c r="Q3" s="22"/>
      <c r="R3" s="22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.399999999999999" customHeight="1" thickBot="1" x14ac:dyDescent="0.5">
      <c r="B4" s="127" t="s">
        <v>268</v>
      </c>
      <c r="C4" s="42">
        <v>100</v>
      </c>
      <c r="D4" s="31" t="s">
        <v>134</v>
      </c>
      <c r="J4" s="167" t="s">
        <v>115</v>
      </c>
      <c r="K4" s="168"/>
      <c r="L4" s="179">
        <f>SUM(L6:L26)</f>
        <v>2699.06</v>
      </c>
      <c r="M4" s="179">
        <f>SUM(M6:M26)</f>
        <v>2374.37</v>
      </c>
      <c r="Q4" s="22"/>
      <c r="R4" s="22"/>
      <c r="S4" s="4"/>
      <c r="T4" s="4" t="s">
        <v>116</v>
      </c>
      <c r="U4" s="4"/>
      <c r="V4" s="4">
        <f>$C$6*Datos!E15</f>
        <v>0</v>
      </c>
      <c r="W4" s="4">
        <f>$C$6*Datos!E16</f>
        <v>0</v>
      </c>
      <c r="X4" s="4"/>
      <c r="Y4" s="4"/>
      <c r="Z4" s="4"/>
      <c r="AA4" s="4"/>
      <c r="AB4" s="4"/>
      <c r="AC4" s="4"/>
    </row>
    <row r="5" spans="1:29" ht="18.399999999999999" customHeight="1" thickBot="1" x14ac:dyDescent="0.5">
      <c r="B5" s="127" t="s">
        <v>157</v>
      </c>
      <c r="C5" s="128"/>
      <c r="D5" s="4"/>
      <c r="E5" s="4"/>
      <c r="F5" s="4"/>
      <c r="G5" s="4"/>
      <c r="J5" s="169"/>
      <c r="K5" s="170"/>
      <c r="L5" s="180"/>
      <c r="M5" s="180"/>
      <c r="Q5" s="22"/>
      <c r="R5" s="22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45">
      <c r="B6" s="5" t="str">
        <f>T4</f>
        <v>Trienios A1</v>
      </c>
      <c r="C6" s="15">
        <v>0</v>
      </c>
      <c r="D6" s="4"/>
      <c r="E6" s="4"/>
      <c r="F6" s="4"/>
      <c r="G6" s="4"/>
      <c r="J6" s="44" t="s">
        <v>112</v>
      </c>
      <c r="K6" s="111"/>
      <c r="L6" s="45">
        <f>ROUND((C4/100)*Datos!E6,2)</f>
        <v>1199.52</v>
      </c>
      <c r="M6" s="110">
        <f>ROUND((C4/100)*Datos!E7,2)</f>
        <v>874.83</v>
      </c>
      <c r="Q6" s="22"/>
      <c r="R6" s="22"/>
      <c r="S6" s="4"/>
      <c r="T6" s="4" t="s">
        <v>117</v>
      </c>
      <c r="U6" s="4"/>
      <c r="V6" s="4">
        <f>$C$7*Datos!E17</f>
        <v>0</v>
      </c>
      <c r="W6" s="4">
        <f>$C$7*Datos!E18</f>
        <v>0</v>
      </c>
      <c r="X6" s="4"/>
      <c r="Y6" s="4"/>
      <c r="Z6" s="4"/>
      <c r="AA6" s="4"/>
      <c r="AB6" s="4"/>
      <c r="AC6" s="4"/>
    </row>
    <row r="7" spans="1:29" x14ac:dyDescent="0.45">
      <c r="B7" s="6" t="str">
        <f t="shared" ref="B7:B10" si="0">T6</f>
        <v>Trienios A2</v>
      </c>
      <c r="C7" s="16">
        <v>0</v>
      </c>
      <c r="D7" s="4"/>
      <c r="E7" s="4"/>
      <c r="F7" s="4"/>
      <c r="G7" s="4"/>
      <c r="I7" s="4"/>
      <c r="J7" s="7" t="s">
        <v>113</v>
      </c>
      <c r="K7" s="40"/>
      <c r="L7" s="20">
        <f>ROUND(($C$4/100)*Datos!E10,2)</f>
        <v>592.11</v>
      </c>
      <c r="M7" s="9">
        <f>L7</f>
        <v>592.11</v>
      </c>
      <c r="Q7" s="22"/>
      <c r="R7" s="22"/>
      <c r="S7" s="4"/>
      <c r="T7" s="4" t="s">
        <v>118</v>
      </c>
      <c r="U7" s="4"/>
      <c r="V7" s="4">
        <f>$C$8*Datos!E19</f>
        <v>0</v>
      </c>
      <c r="W7" s="4">
        <f>$C$8*Datos!E20</f>
        <v>0</v>
      </c>
      <c r="X7" s="4"/>
      <c r="Y7" s="4"/>
      <c r="Z7" s="4"/>
      <c r="AA7" s="4"/>
      <c r="AB7" s="4"/>
      <c r="AC7" s="4"/>
    </row>
    <row r="8" spans="1:29" x14ac:dyDescent="0.45">
      <c r="B8" s="6" t="str">
        <f t="shared" si="0"/>
        <v>Trienios C1</v>
      </c>
      <c r="C8" s="16">
        <v>0</v>
      </c>
      <c r="D8" s="4"/>
      <c r="E8" s="4"/>
      <c r="F8" s="4"/>
      <c r="G8" s="4"/>
      <c r="I8" s="4"/>
      <c r="J8" s="7" t="s">
        <v>114</v>
      </c>
      <c r="K8" s="40"/>
      <c r="L8" s="20">
        <f>ROUND(($C$4/100)*Datos!E14,2)</f>
        <v>907.43</v>
      </c>
      <c r="M8" s="9">
        <f>L8</f>
        <v>907.43</v>
      </c>
      <c r="Q8" s="22"/>
      <c r="R8" s="22"/>
      <c r="S8" s="4"/>
      <c r="T8" s="4" t="s">
        <v>119</v>
      </c>
      <c r="U8" s="4"/>
      <c r="V8" s="4">
        <f>$C$9*Datos!E21</f>
        <v>0</v>
      </c>
      <c r="W8" s="4">
        <f>$C$9*Datos!E22</f>
        <v>0</v>
      </c>
      <c r="X8" s="4"/>
      <c r="Y8" s="4"/>
      <c r="Z8" s="4"/>
      <c r="AA8" s="4"/>
      <c r="AB8" s="4"/>
      <c r="AC8" s="4"/>
    </row>
    <row r="9" spans="1:29" x14ac:dyDescent="0.45">
      <c r="A9" s="4"/>
      <c r="B9" s="6" t="str">
        <f t="shared" si="0"/>
        <v>Trienios C2</v>
      </c>
      <c r="C9" s="16">
        <v>0</v>
      </c>
      <c r="D9" s="4"/>
      <c r="E9" s="4"/>
      <c r="F9" s="4"/>
      <c r="G9" s="4"/>
      <c r="I9" s="4"/>
      <c r="J9" s="7" t="s">
        <v>120</v>
      </c>
      <c r="K9" s="40"/>
      <c r="L9" s="20">
        <f>IF(SUM(C6:C10)&gt;0,ROUND(V11*C4/100,2),0)</f>
        <v>0</v>
      </c>
      <c r="M9" s="9">
        <f>W11</f>
        <v>0</v>
      </c>
      <c r="Q9" s="22"/>
      <c r="R9" s="22"/>
      <c r="S9" s="4"/>
      <c r="T9" s="4" t="s">
        <v>121</v>
      </c>
      <c r="U9" s="4"/>
      <c r="V9" s="4">
        <f>$C$10*Datos!E23</f>
        <v>0</v>
      </c>
      <c r="W9" s="4">
        <f>$C$10*Datos!E24</f>
        <v>0</v>
      </c>
      <c r="X9" s="4"/>
      <c r="Y9" s="4"/>
      <c r="Z9" s="4"/>
      <c r="AA9" s="4"/>
      <c r="AB9" s="4"/>
      <c r="AC9" s="4"/>
    </row>
    <row r="10" spans="1:29" ht="14.65" thickBot="1" x14ac:dyDescent="0.5">
      <c r="A10" s="4"/>
      <c r="B10" s="10" t="str">
        <f t="shared" si="0"/>
        <v>Trienios agrupaciones especiales</v>
      </c>
      <c r="C10" s="17">
        <v>0</v>
      </c>
      <c r="D10" s="4"/>
      <c r="E10" s="4"/>
      <c r="F10" s="4"/>
      <c r="G10" s="4"/>
      <c r="I10" s="4"/>
      <c r="J10" s="7" t="s">
        <v>147</v>
      </c>
      <c r="K10" s="40"/>
      <c r="L10" s="20">
        <f>IF(C12=1,Datos!F26,IF(C12=2,Datos!F27,IF(C12=3,Datos!F28,IF(C12=4,Datos!F29,IF(C12=5,Datos!F30,0)))))</f>
        <v>0</v>
      </c>
      <c r="M10" s="9">
        <f>L10</f>
        <v>0</v>
      </c>
      <c r="Q10" s="22"/>
      <c r="R10" s="22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.65" thickBot="1" x14ac:dyDescent="0.5">
      <c r="A11" s="4"/>
      <c r="B11" s="129" t="s">
        <v>123</v>
      </c>
      <c r="C11" s="18">
        <v>0</v>
      </c>
      <c r="D11" s="4" t="str">
        <f>IF(OR(C12=D13,C12=D17,C12=D18,C12=D19),D13,"")</f>
        <v/>
      </c>
      <c r="E11" s="4"/>
      <c r="F11" s="4"/>
      <c r="G11" s="4"/>
      <c r="I11" s="22"/>
      <c r="J11" s="7" t="s">
        <v>19</v>
      </c>
      <c r="K11" s="40"/>
      <c r="L11" s="20">
        <f>IF(C12=D13,ROUND(C4*MAX(E26:E32,G26:G32)/100,2),0)</f>
        <v>0</v>
      </c>
      <c r="M11" s="9">
        <f t="shared" ref="M11:M21" si="1">L11</f>
        <v>0</v>
      </c>
      <c r="Q11" s="22"/>
      <c r="R11" s="22"/>
      <c r="S11" s="4"/>
      <c r="T11" s="4" t="s">
        <v>122</v>
      </c>
      <c r="U11" s="4"/>
      <c r="V11" s="4">
        <f>SUM(V4:V9)</f>
        <v>0</v>
      </c>
      <c r="W11" s="4">
        <f>SUM(W4:W9)</f>
        <v>0</v>
      </c>
      <c r="X11" s="4"/>
      <c r="Y11" s="4"/>
      <c r="Z11" s="4"/>
      <c r="AA11" s="4"/>
      <c r="AB11" s="4"/>
      <c r="AC11" s="4"/>
    </row>
    <row r="12" spans="1:29" ht="14.65" thickBot="1" x14ac:dyDescent="0.5">
      <c r="A12" s="4"/>
      <c r="B12" s="129" t="s">
        <v>274</v>
      </c>
      <c r="C12" s="51" t="s">
        <v>135</v>
      </c>
      <c r="D12" s="4" t="s">
        <v>135</v>
      </c>
      <c r="E12" s="4"/>
      <c r="F12" s="4" t="s">
        <v>22</v>
      </c>
      <c r="G12" s="4" t="s">
        <v>130</v>
      </c>
      <c r="H12" s="4" t="s">
        <v>137</v>
      </c>
      <c r="I12" s="22"/>
      <c r="J12" s="7" t="s">
        <v>34</v>
      </c>
      <c r="K12" s="40"/>
      <c r="L12" s="20">
        <f>IF(C12=D15,ROUND(C4*MAX(F26:F31,H26:H31)/100,2),0)</f>
        <v>0</v>
      </c>
      <c r="M12" s="9">
        <f t="shared" si="1"/>
        <v>0</v>
      </c>
      <c r="N12" s="4">
        <f>IF(C11=1,Datos!#REF!,IF(C11=2,Datos!#REF!,IF(C11=3,Datos!#REF!,IF(C11=4,Datos!#REF!,IF(C11=5,Datos!#REF!,0)))))</f>
        <v>0</v>
      </c>
      <c r="Q12" s="22"/>
      <c r="R12" s="22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4.65" thickBot="1" x14ac:dyDescent="0.5">
      <c r="A13" s="4"/>
      <c r="B13" s="129" t="s">
        <v>124</v>
      </c>
      <c r="C13" s="18"/>
      <c r="D13" s="4" t="s">
        <v>126</v>
      </c>
      <c r="E13" s="4"/>
      <c r="F13" s="4" t="s">
        <v>23</v>
      </c>
      <c r="G13" s="4" t="s">
        <v>131</v>
      </c>
      <c r="H13" s="4" t="s">
        <v>138</v>
      </c>
      <c r="I13" s="22"/>
      <c r="J13" s="7" t="s">
        <v>35</v>
      </c>
      <c r="K13" s="40"/>
      <c r="L13" s="20">
        <f>IF(C12=D14,ROUND(C4*MAX(F26:F31,H26:H31)/100,2),0)</f>
        <v>0</v>
      </c>
      <c r="M13" s="9">
        <f t="shared" si="1"/>
        <v>0</v>
      </c>
      <c r="Q13" s="22"/>
      <c r="R13" s="22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.65" thickBot="1" x14ac:dyDescent="0.5">
      <c r="A14" s="4"/>
      <c r="B14" s="129" t="s">
        <v>129</v>
      </c>
      <c r="C14" s="18" t="s">
        <v>133</v>
      </c>
      <c r="D14" s="4" t="s">
        <v>127</v>
      </c>
      <c r="E14" s="4"/>
      <c r="F14" s="4" t="s">
        <v>24</v>
      </c>
      <c r="G14" s="4" t="s">
        <v>132</v>
      </c>
      <c r="H14" s="4"/>
      <c r="I14" s="22"/>
      <c r="J14" s="7" t="s">
        <v>148</v>
      </c>
      <c r="K14" s="40"/>
      <c r="L14" s="20">
        <f>IF(C12=D16,ROUND(Datos!E77*Maestros!C4/100,2),0)</f>
        <v>0</v>
      </c>
      <c r="M14" s="9">
        <f t="shared" si="1"/>
        <v>0</v>
      </c>
      <c r="Q14" s="22"/>
      <c r="R14" s="22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.65" thickBot="1" x14ac:dyDescent="0.5">
      <c r="A15" s="4"/>
      <c r="B15" s="129" t="s">
        <v>45</v>
      </c>
      <c r="C15" s="18" t="s">
        <v>138</v>
      </c>
      <c r="D15" s="4" t="s">
        <v>128</v>
      </c>
      <c r="E15" s="4"/>
      <c r="F15" s="4" t="s">
        <v>25</v>
      </c>
      <c r="G15" s="4" t="s">
        <v>133</v>
      </c>
      <c r="H15" s="4" t="s">
        <v>138</v>
      </c>
      <c r="I15" s="22"/>
      <c r="J15" s="7" t="str">
        <f>B15</f>
        <v>Jefatura de Residencia Tipo A</v>
      </c>
      <c r="K15" s="40"/>
      <c r="L15" s="20">
        <f>IF(C15="Sí",ROUND(Datos!E85*Maestros!C4/100,2),0)</f>
        <v>0</v>
      </c>
      <c r="M15" s="9">
        <f t="shared" si="1"/>
        <v>0</v>
      </c>
      <c r="Q15" s="22"/>
      <c r="R15" s="22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.65" thickBot="1" x14ac:dyDescent="0.5">
      <c r="A16" s="4"/>
      <c r="B16" s="129" t="s">
        <v>46</v>
      </c>
      <c r="C16" s="18" t="s">
        <v>138</v>
      </c>
      <c r="D16" s="4" t="s">
        <v>136</v>
      </c>
      <c r="E16" s="4"/>
      <c r="F16" s="4" t="s">
        <v>26</v>
      </c>
      <c r="G16" s="4"/>
      <c r="H16" s="4" t="s">
        <v>139</v>
      </c>
      <c r="I16" s="22"/>
      <c r="J16" s="7" t="str">
        <f>B16</f>
        <v>Jefatura de Residencia Tipo B</v>
      </c>
      <c r="K16" s="40"/>
      <c r="L16" s="20">
        <f>IF(C16="Sí",ROUND(Datos!E86*Maestros!C4/100,2),0)</f>
        <v>0</v>
      </c>
      <c r="M16" s="9">
        <f t="shared" si="1"/>
        <v>0</v>
      </c>
      <c r="Q16" s="22"/>
      <c r="R16" s="22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4.65" thickBot="1" x14ac:dyDescent="0.5">
      <c r="A17" s="4"/>
      <c r="B17" s="129" t="s">
        <v>99</v>
      </c>
      <c r="C17" s="18" t="s">
        <v>138</v>
      </c>
      <c r="D17" s="4" t="s">
        <v>275</v>
      </c>
      <c r="E17" s="4"/>
      <c r="F17" s="4" t="s">
        <v>27</v>
      </c>
      <c r="G17" s="4"/>
      <c r="H17" s="4" t="s">
        <v>140</v>
      </c>
      <c r="I17" s="22"/>
      <c r="J17" s="7" t="str">
        <f>B17</f>
        <v>Jefatura de Residencia de CEE</v>
      </c>
      <c r="K17" s="40"/>
      <c r="L17" s="20">
        <f>IF(C17="Sí",ROUND(Datos!E87*Maestros!C4/100,2),0)</f>
        <v>0</v>
      </c>
      <c r="M17" s="9">
        <f t="shared" si="1"/>
        <v>0</v>
      </c>
      <c r="Q17" s="22"/>
      <c r="R17" s="22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4.65" thickBot="1" x14ac:dyDescent="0.5">
      <c r="A18" s="4"/>
      <c r="B18" s="129" t="s">
        <v>97</v>
      </c>
      <c r="C18" s="18" t="s">
        <v>138</v>
      </c>
      <c r="D18" s="4" t="s">
        <v>276</v>
      </c>
      <c r="E18" s="4"/>
      <c r="F18" s="4"/>
      <c r="G18" s="4"/>
      <c r="H18" s="4" t="s">
        <v>141</v>
      </c>
      <c r="I18" s="22"/>
      <c r="J18" s="7" t="str">
        <f>B18</f>
        <v>Coordinación Equipos de Atención Hospitalaria y Domiciliaria</v>
      </c>
      <c r="K18" s="40"/>
      <c r="L18" s="20">
        <f>IF(C18="Sí",ROUND(Datos!E89*Maestros!C4/100,2),0)</f>
        <v>0</v>
      </c>
      <c r="M18" s="9">
        <f t="shared" si="1"/>
        <v>0</v>
      </c>
      <c r="Q18" s="22"/>
      <c r="R18" s="22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.65" thickBot="1" x14ac:dyDescent="0.5">
      <c r="A19" s="4"/>
      <c r="B19" s="129" t="s">
        <v>98</v>
      </c>
      <c r="C19" s="18" t="s">
        <v>138</v>
      </c>
      <c r="D19" s="4" t="s">
        <v>277</v>
      </c>
      <c r="E19" s="4"/>
      <c r="F19" s="4"/>
      <c r="G19" s="4"/>
      <c r="H19" s="4" t="s">
        <v>271</v>
      </c>
      <c r="I19" s="22"/>
      <c r="J19" s="7" t="str">
        <f>B19</f>
        <v>Coordinación Programa Recuperación Pueblos Abandonados</v>
      </c>
      <c r="K19" s="40"/>
      <c r="L19" s="20">
        <f>IF(C19="Sí",ROUND(Datos!E90*Maestros!C4/100,2),0)</f>
        <v>0</v>
      </c>
      <c r="M19" s="9">
        <f t="shared" si="1"/>
        <v>0</v>
      </c>
      <c r="Q19" s="22"/>
      <c r="R19" s="22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4.65" thickBot="1" x14ac:dyDescent="0.5">
      <c r="A20" s="4"/>
      <c r="B20" s="129" t="s">
        <v>49</v>
      </c>
      <c r="C20" s="18" t="s">
        <v>138</v>
      </c>
      <c r="D20" s="4">
        <f>IF(C12=D17,0.25,IF(C12=D18,0.4,IF(C12=D19,0.6,0)))</f>
        <v>0</v>
      </c>
      <c r="E20" s="4"/>
      <c r="F20" s="4"/>
      <c r="G20" s="4"/>
      <c r="H20" s="4" t="s">
        <v>333</v>
      </c>
      <c r="I20" s="22"/>
      <c r="J20" s="7" t="s">
        <v>149</v>
      </c>
      <c r="K20" s="40"/>
      <c r="L20" s="20">
        <f>IF(C21="En IES",ROUND(Datos!E94*Maestros!C4/100,2),0)</f>
        <v>0</v>
      </c>
      <c r="M20" s="9">
        <f t="shared" si="1"/>
        <v>0</v>
      </c>
      <c r="Q20" s="22"/>
      <c r="R20" s="2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4.65" thickBot="1" x14ac:dyDescent="0.5">
      <c r="A21" s="4"/>
      <c r="B21" s="129" t="s">
        <v>331</v>
      </c>
      <c r="C21" s="18" t="s">
        <v>138</v>
      </c>
      <c r="D21" s="4"/>
      <c r="E21" s="4"/>
      <c r="F21" s="4"/>
      <c r="G21" s="4"/>
      <c r="H21" s="4"/>
      <c r="I21" s="22"/>
      <c r="J21" s="7" t="s">
        <v>150</v>
      </c>
      <c r="K21" s="40"/>
      <c r="L21" s="20">
        <f>IF(C21="En CRA",ROUND(Datos!E98*Maestros!C4/100,2),0)</f>
        <v>0</v>
      </c>
      <c r="M21" s="9">
        <f t="shared" si="1"/>
        <v>0</v>
      </c>
      <c r="Q21" s="22"/>
      <c r="R21" s="2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4.65" thickBot="1" x14ac:dyDescent="0.5">
      <c r="A22" s="4"/>
      <c r="B22" s="129" t="s">
        <v>144</v>
      </c>
      <c r="C22" s="18" t="s">
        <v>138</v>
      </c>
      <c r="D22" s="4">
        <f>IF(C22="No",0,Datos!E102)</f>
        <v>0</v>
      </c>
      <c r="E22" s="4"/>
      <c r="F22" s="4"/>
      <c r="G22" s="4"/>
      <c r="H22" s="4"/>
      <c r="I22" s="22"/>
      <c r="J22" s="7" t="s">
        <v>151</v>
      </c>
      <c r="K22" s="40"/>
      <c r="L22" s="20">
        <f>IF(C21="En CEE",ROUND(Datos!E100*Maestros!C4/100,2),0)</f>
        <v>0</v>
      </c>
      <c r="M22" s="9">
        <f>L22</f>
        <v>0</v>
      </c>
      <c r="Q22" s="22"/>
      <c r="R22" s="2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4.65" thickBot="1" x14ac:dyDescent="0.5">
      <c r="A23" s="4"/>
      <c r="B23" s="13" t="s">
        <v>142</v>
      </c>
      <c r="C23" s="18" t="s">
        <v>138</v>
      </c>
      <c r="D23" s="4">
        <f>IF(AND(C22="Sí",C23="Sí"),Datos!E103,0)</f>
        <v>0</v>
      </c>
      <c r="E23" s="4"/>
      <c r="F23" s="4"/>
      <c r="G23" s="4"/>
      <c r="H23" s="4"/>
      <c r="I23" s="4"/>
      <c r="J23" s="7" t="s">
        <v>272</v>
      </c>
      <c r="K23" s="112"/>
      <c r="L23" s="20">
        <f>IF(C21=H19,ROUND(Datos!E97*Maestros!C4/100,2),0)</f>
        <v>0</v>
      </c>
      <c r="M23" s="9">
        <f t="shared" ref="M23:M25" si="2">L23</f>
        <v>0</v>
      </c>
      <c r="Q23" s="22"/>
      <c r="R23" s="2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.65" thickBot="1" x14ac:dyDescent="0.5">
      <c r="A24" s="4"/>
      <c r="B24" s="12" t="s">
        <v>143</v>
      </c>
      <c r="C24" s="19">
        <v>0</v>
      </c>
      <c r="D24" s="4">
        <f>IF(C22="Sí",C24*Datos!E104,0)</f>
        <v>0</v>
      </c>
      <c r="E24" s="4"/>
      <c r="F24" s="4"/>
      <c r="G24" s="4"/>
      <c r="H24" s="4"/>
      <c r="I24" s="4"/>
      <c r="J24" s="7" t="s">
        <v>152</v>
      </c>
      <c r="K24" s="40"/>
      <c r="L24" s="20">
        <f>IF(C22="Sí",ROUND(C4*SUM(D22:D24)/100,2),0)</f>
        <v>0</v>
      </c>
      <c r="M24" s="9">
        <f t="shared" si="2"/>
        <v>0</v>
      </c>
      <c r="Q24" s="22"/>
      <c r="R24" s="2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4.65" thickBot="1" x14ac:dyDescent="0.5">
      <c r="A25" s="4"/>
      <c r="B25" s="129" t="s">
        <v>145</v>
      </c>
      <c r="C25" s="18" t="s">
        <v>138</v>
      </c>
      <c r="D25" s="4"/>
      <c r="E25" s="4" t="s">
        <v>125</v>
      </c>
      <c r="F25" s="4" t="s">
        <v>154</v>
      </c>
      <c r="G25" s="4" t="s">
        <v>155</v>
      </c>
      <c r="H25" s="4" t="s">
        <v>156</v>
      </c>
      <c r="I25" s="4"/>
      <c r="J25" s="7" t="s">
        <v>153</v>
      </c>
      <c r="K25" s="40"/>
      <c r="L25" s="20">
        <f>IF(C25="Sí",ROUND(C4*MIN(D26:D36)/100,2),0)</f>
        <v>0</v>
      </c>
      <c r="M25" s="9">
        <f t="shared" si="2"/>
        <v>0</v>
      </c>
      <c r="Q25" s="22"/>
      <c r="R25" s="2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4.65" thickBot="1" x14ac:dyDescent="0.5">
      <c r="A26" s="4"/>
      <c r="B26" s="13" t="s">
        <v>146</v>
      </c>
      <c r="C26" s="18">
        <v>0</v>
      </c>
      <c r="D26" s="4">
        <f>IF($C$26&lt;=50,Datos!E107,"")</f>
        <v>17.649999999999999</v>
      </c>
      <c r="E26" s="4" t="str">
        <f>IF(AND($D$11=$D$13,$C$14&lt;&gt;"",$C$14&lt;&gt;$G$12,$C$13=F12),Datos!E32,"")</f>
        <v/>
      </c>
      <c r="F26" s="4" t="str">
        <f>IF(AND(OR($C$12=$D$14,$C$12=$D$15),$C$14&lt;&gt;"",$C$14&lt;&gt;$G$12,$C$13=F12),Datos!E38,"")</f>
        <v/>
      </c>
      <c r="G26" s="4" t="str">
        <f>IF(AND($D$11=$D$13,$C$14="CRA",$C$13=F12),Datos!E48,"")</f>
        <v/>
      </c>
      <c r="H26" s="4" t="str">
        <f>IF(AND(OR($C$12=$D$14,$C$12=$D$15),$C$14="CRA",$G$12,$C$13=F12),Datos!E54,"")</f>
        <v/>
      </c>
      <c r="I26" s="4"/>
      <c r="J26" s="7" t="s">
        <v>273</v>
      </c>
      <c r="K26" s="40"/>
      <c r="L26" s="20">
        <f>IF(D20&gt;0,ROUND(C4*MAX(E26:E32,G26:G32)*D20/100,2),0)</f>
        <v>0</v>
      </c>
      <c r="M26" s="9">
        <f>L26</f>
        <v>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4.65" thickBot="1" x14ac:dyDescent="0.5">
      <c r="A27" s="4"/>
      <c r="B27" s="91"/>
      <c r="C27" s="90"/>
      <c r="D27" s="4"/>
      <c r="E27" s="4"/>
      <c r="F27" s="4"/>
      <c r="G27" s="4"/>
      <c r="H27" s="4"/>
      <c r="I27" s="4"/>
      <c r="J27" s="14" t="s">
        <v>332</v>
      </c>
      <c r="K27" s="113"/>
      <c r="L27" s="21">
        <f>IF(C21=H20,ROUND(Datos!E96*Maestros!C4/100,2),0)</f>
        <v>0</v>
      </c>
      <c r="M27" s="9">
        <f>L27</f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.65" thickBot="1" x14ac:dyDescent="0.5">
      <c r="A28" s="4"/>
      <c r="B28" s="159" t="s">
        <v>233</v>
      </c>
      <c r="C28" s="160"/>
      <c r="D28" s="4">
        <f>IF($C$26&lt;=100,Datos!E108,"")</f>
        <v>35.32</v>
      </c>
      <c r="E28" s="4" t="str">
        <f>IF(AND($D$11=$D$13,$C$14&lt;&gt;"",$C$14&lt;&gt;$G$12,$C$13=F13),Datos!E33,"")</f>
        <v/>
      </c>
      <c r="F28" s="4" t="str">
        <f>IF(AND(OR($C$12=$D$14,$C$12=$D$15),$C$14&lt;&gt;"",$C$14&lt;&gt;$G$12,$C$13=F13),Datos!E39,"")</f>
        <v/>
      </c>
      <c r="G28" s="4" t="str">
        <f>IF(AND($D$11=$D$13,$C$14="CRA",$C$13=F13),Datos!E49,"")</f>
        <v/>
      </c>
      <c r="H28" s="22" t="str">
        <f>IF(AND(OR($C$12=$D$14,$C$12=$D$15),$C$14="CRA",$G$12,$C$13=F13),Datos!E55,"")</f>
        <v/>
      </c>
      <c r="I28" s="4"/>
      <c r="J28" s="57" t="s">
        <v>162</v>
      </c>
      <c r="K28" s="58"/>
      <c r="L28" s="59"/>
      <c r="M28" s="3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.65" thickBot="1" x14ac:dyDescent="0.5">
      <c r="A29" s="4"/>
      <c r="B29" s="129" t="s">
        <v>158</v>
      </c>
      <c r="C29" s="18" t="s">
        <v>161</v>
      </c>
      <c r="D29" s="4">
        <f>IF($C$26&lt;=150,Datos!E109,"")</f>
        <v>52.97</v>
      </c>
      <c r="E29" s="4" t="str">
        <f>IF(AND($D$11=$D$13,$C$14&lt;&gt;"",$C$14&lt;&gt;$G$12,$C$13=F14),Datos!E34,"")</f>
        <v/>
      </c>
      <c r="F29" s="4" t="str">
        <f>IF(AND(OR($C$12=$D$14,$C$12=$D$15),$C$14&lt;&gt;"",$C$14&lt;&gt;$G$12,$C$13=F14),Datos!E40,"")</f>
        <v/>
      </c>
      <c r="G29" s="4" t="str">
        <f>IF(AND($D$11=$D$13,$C$14="CRA",$C$13=F14),Datos!E50,"")</f>
        <v/>
      </c>
      <c r="H29" s="22" t="str">
        <f>IF(AND(OR($C$12=$D$14,$C$12=$D$15),$C$14="CRA",$G$12,$C$13=F14),Datos!E56,"")</f>
        <v/>
      </c>
      <c r="I29" s="4"/>
      <c r="J29" s="7" t="s">
        <v>231</v>
      </c>
      <c r="K29" s="40"/>
      <c r="L29" s="20">
        <f>IF(OR(C29=A35,C29=A36),40.68*C4/100,0)</f>
        <v>0</v>
      </c>
      <c r="M29" s="49">
        <f>L29</f>
        <v>0</v>
      </c>
      <c r="P29" s="4"/>
      <c r="Q29" s="4"/>
      <c r="R29" s="4"/>
      <c r="S29" s="4"/>
      <c r="T29" s="4"/>
      <c r="U29" s="4"/>
      <c r="V29" s="4"/>
      <c r="W29" s="4"/>
    </row>
    <row r="30" spans="1:29" ht="14.65" thickBot="1" x14ac:dyDescent="0.5">
      <c r="A30" s="4"/>
      <c r="B30" s="129" t="str">
        <f>IF(C29=A35,"¿En qué año aprobaste la oposición?","")</f>
        <v/>
      </c>
      <c r="C30" s="18"/>
      <c r="D30" s="4">
        <f>IF($C$26&lt;=200,Datos!E110,"")</f>
        <v>70.64</v>
      </c>
      <c r="E30" s="4" t="str">
        <f>IF(AND($D$11=$D$13,$C$14&lt;&gt;"",$C$14&lt;&gt;$G$12,$C$13=F15),Datos!E35,"")</f>
        <v/>
      </c>
      <c r="F30" s="4" t="str">
        <f>IF(AND(OR($C$12=$D$14,$C$12=$D$15),$C$14&lt;&gt;"",$C$14&lt;&gt;$G$12,$C$13=F15),Datos!E41,"")</f>
        <v/>
      </c>
      <c r="G30" s="4" t="str">
        <f>IF(AND($D$11=$D$13,$C$14="CRA",$C$13=F15),Datos!E51,"")</f>
        <v/>
      </c>
      <c r="H30" s="22" t="str">
        <f>IF(AND(OR($C$12=$D$14,$C$12=$D$15),$C$14="CRA",$G$12,$C$13=F15),Datos!E57,"")</f>
        <v/>
      </c>
      <c r="I30" s="4"/>
      <c r="J30" s="7" t="s">
        <v>232</v>
      </c>
      <c r="K30" s="40"/>
      <c r="L30" s="20">
        <f>IF(AND(OR(C29=A35,C29=A36),C30&lt;2011),92.9*C4/100,0)</f>
        <v>0</v>
      </c>
      <c r="M30" s="49">
        <f>L30</f>
        <v>0</v>
      </c>
      <c r="P30" s="4"/>
      <c r="Q30" s="4"/>
      <c r="R30" s="4"/>
      <c r="S30" s="4"/>
      <c r="T30" s="4"/>
      <c r="U30" s="4"/>
      <c r="V30" s="4"/>
      <c r="W30" s="4"/>
    </row>
    <row r="31" spans="1:29" ht="14.65" thickBot="1" x14ac:dyDescent="0.5">
      <c r="A31" s="4"/>
      <c r="B31" s="171" t="s">
        <v>169</v>
      </c>
      <c r="C31" s="172"/>
      <c r="D31" s="4">
        <f>IF($C$26&lt;=250,Datos!E111,"")</f>
        <v>88.29</v>
      </c>
      <c r="E31" s="4" t="str">
        <f>IF(AND($D$11=$D$13,$C$14&lt;&gt;"",$C$14&lt;&gt;$G$12,$C$13=F16),Datos!E36,"")</f>
        <v/>
      </c>
      <c r="F31" s="4" t="str">
        <f>IF(AND(OR($C$12=$D$14,$C$12=$D$15),$C$14&lt;&gt;"",$C$14&lt;&gt;$G$12,$C$13=F16),Datos!E42,"")</f>
        <v/>
      </c>
      <c r="G31" s="4" t="str">
        <f>IF(AND($D$11=$D$13,$C$14="CRA",$C$13=F16),Datos!E52,"")</f>
        <v/>
      </c>
      <c r="H31" s="22" t="str">
        <f>IF(AND(OR($C$12=$D$14,$C$12=$D$15),$C$14="CRA",$G$12,$C$13=F16),Datos!E58,"")</f>
        <v/>
      </c>
      <c r="I31" s="4"/>
      <c r="J31" s="7" t="s">
        <v>163</v>
      </c>
      <c r="K31" s="40"/>
      <c r="L31" s="20">
        <f>IF(OR(C29=A36,AND(C29=A35,C30&gt;=2011)),(L4+(M4/6))*L69,0)</f>
        <v>0</v>
      </c>
      <c r="M31" s="9">
        <v>0</v>
      </c>
      <c r="O31" s="4"/>
      <c r="P31" s="4"/>
      <c r="Q31" s="4"/>
      <c r="R31" s="4"/>
      <c r="S31" s="4"/>
      <c r="T31" s="4"/>
      <c r="U31" s="4"/>
      <c r="V31" s="4"/>
      <c r="W31" s="4"/>
    </row>
    <row r="32" spans="1:29" ht="14.65" thickBot="1" x14ac:dyDescent="0.5">
      <c r="A32" s="4"/>
      <c r="B32" s="129" t="s">
        <v>171</v>
      </c>
      <c r="C32" s="18" t="s">
        <v>138</v>
      </c>
      <c r="D32" s="4">
        <f>IF($C$26&lt;=300,Datos!E112,"")</f>
        <v>105.96</v>
      </c>
      <c r="E32" s="4" t="str">
        <f>IF(AND($D$11=$D$13,$C$14&lt;&gt;"",$C$14&lt;&gt;$G$12,$C$13=F17),Datos!E37,"")</f>
        <v/>
      </c>
      <c r="F32" s="4"/>
      <c r="G32" s="4" t="str">
        <f>IF(AND($D$11=$D$13,$C$14="CRA",$C$13=F17),Datos!E53,"")</f>
        <v/>
      </c>
      <c r="J32" s="7" t="s">
        <v>164</v>
      </c>
      <c r="K32" s="40"/>
      <c r="L32" s="46">
        <f>IF(C29=A37,L4*0.0647+M4*0.0647/6,0)</f>
        <v>200.23280516666665</v>
      </c>
      <c r="M32" s="9">
        <v>0</v>
      </c>
      <c r="O32" s="4" t="s">
        <v>176</v>
      </c>
      <c r="P32" s="4"/>
      <c r="Q32" s="4"/>
      <c r="R32" s="4"/>
      <c r="S32" s="4"/>
      <c r="T32" s="4"/>
      <c r="U32" s="4"/>
      <c r="V32" s="4"/>
      <c r="W32" s="4"/>
    </row>
    <row r="33" spans="1:23" ht="14.65" thickBot="1" x14ac:dyDescent="0.5">
      <c r="A33" s="4"/>
      <c r="B33" s="129" t="s">
        <v>191</v>
      </c>
      <c r="C33" s="119">
        <v>0</v>
      </c>
      <c r="D33" s="4">
        <f>IF($C$26&lt;=350,Datos!E113,"")</f>
        <v>123.62</v>
      </c>
      <c r="E33" s="4"/>
      <c r="F33" s="4" t="str">
        <f>IF(AND(OR($C$12=$D$14,$C$12=$D$15),$C$14&lt;&gt;"",$C$14&lt;&gt;$G$12,$C$13=F18),Datos!E44,"")</f>
        <v/>
      </c>
      <c r="G33" s="4" t="str">
        <f>IF(AND($D$11=$D$13,$C$14="CRA",$C$13=F18),Datos!E54,"")</f>
        <v/>
      </c>
      <c r="J33" s="14" t="s">
        <v>165</v>
      </c>
      <c r="K33" s="48">
        <f>L62</f>
        <v>0.18340672733137917</v>
      </c>
      <c r="L33" s="47">
        <f>L4*K33</f>
        <v>495.02576147103224</v>
      </c>
      <c r="M33" s="50">
        <f>M4*K33</f>
        <v>435.47543117380673</v>
      </c>
      <c r="O33" s="4" t="s">
        <v>177</v>
      </c>
      <c r="P33" s="4">
        <v>2400</v>
      </c>
      <c r="Q33" s="4">
        <v>2400</v>
      </c>
      <c r="R33" s="4"/>
      <c r="S33" s="4"/>
      <c r="T33" s="4"/>
      <c r="U33" s="4"/>
      <c r="V33" s="4"/>
      <c r="W33" s="4"/>
    </row>
    <row r="34" spans="1:23" ht="14.65" thickBot="1" x14ac:dyDescent="0.5">
      <c r="A34" s="4"/>
      <c r="B34" s="129" t="s">
        <v>190</v>
      </c>
      <c r="C34" s="119">
        <v>0</v>
      </c>
      <c r="D34" s="4">
        <f>IF($C$26&lt;=450,Datos!E114,"")</f>
        <v>141.27000000000001</v>
      </c>
      <c r="E34" s="4"/>
      <c r="F34" s="4"/>
      <c r="G34" s="4"/>
      <c r="L34" s="32"/>
      <c r="O34" s="4" t="s">
        <v>178</v>
      </c>
      <c r="P34" s="4">
        <v>2700</v>
      </c>
      <c r="Q34" s="4">
        <f>Q33+P34</f>
        <v>5100</v>
      </c>
      <c r="R34" s="4"/>
      <c r="S34" s="4"/>
      <c r="T34" s="4"/>
      <c r="U34" s="4"/>
      <c r="V34" s="4"/>
      <c r="W34" s="4"/>
    </row>
    <row r="35" spans="1:23" ht="14.65" thickBot="1" x14ac:dyDescent="0.5">
      <c r="A35" s="4" t="s">
        <v>159</v>
      </c>
      <c r="B35" s="41" t="s">
        <v>174</v>
      </c>
      <c r="C35" s="18">
        <v>0</v>
      </c>
      <c r="D35" s="4">
        <f>IF($C$26&lt;=450,Datos!E115,"")</f>
        <v>158.94</v>
      </c>
      <c r="E35" s="4"/>
      <c r="F35" s="4"/>
      <c r="G35" s="4"/>
      <c r="I35" s="4"/>
      <c r="J35" s="74" t="s">
        <v>167</v>
      </c>
      <c r="K35" s="75"/>
      <c r="L35" s="79"/>
      <c r="O35" s="4" t="s">
        <v>179</v>
      </c>
      <c r="P35" s="4">
        <v>4000</v>
      </c>
      <c r="Q35" s="4">
        <f>Q34+P35</f>
        <v>9100</v>
      </c>
      <c r="R35" s="4"/>
      <c r="S35" s="4"/>
      <c r="T35" s="4"/>
      <c r="U35" s="4"/>
      <c r="V35" s="4"/>
      <c r="W35" s="4"/>
    </row>
    <row r="36" spans="1:23" ht="14.75" customHeight="1" thickBot="1" x14ac:dyDescent="0.5">
      <c r="A36" s="4" t="s">
        <v>160</v>
      </c>
      <c r="B36" s="129" t="s">
        <v>173</v>
      </c>
      <c r="C36" s="18">
        <v>0</v>
      </c>
      <c r="D36" s="4">
        <f>IF($C$26&lt;=1000050,Datos!E116,"")</f>
        <v>176.59</v>
      </c>
      <c r="E36" s="4"/>
      <c r="F36" s="4"/>
      <c r="G36" s="4"/>
      <c r="I36" s="4"/>
      <c r="J36" s="36" t="s">
        <v>168</v>
      </c>
      <c r="K36" s="37"/>
      <c r="L36" s="70">
        <f>L4*12+M4*2</f>
        <v>37137.46</v>
      </c>
      <c r="M36" s="22"/>
      <c r="N36" s="22"/>
      <c r="O36" s="4" t="s">
        <v>180</v>
      </c>
      <c r="P36" s="4">
        <v>4500</v>
      </c>
      <c r="Q36" s="4"/>
      <c r="R36" s="4"/>
      <c r="S36" s="4"/>
      <c r="T36" s="4"/>
      <c r="U36" s="4"/>
      <c r="V36" s="4"/>
      <c r="W36" s="4"/>
    </row>
    <row r="37" spans="1:23" ht="14.75" customHeight="1" thickBot="1" x14ac:dyDescent="0.5">
      <c r="A37" s="4" t="s">
        <v>161</v>
      </c>
      <c r="B37" s="131" t="s">
        <v>196</v>
      </c>
      <c r="C37" s="18" t="s">
        <v>138</v>
      </c>
      <c r="D37" s="4" t="str">
        <f>IF(B69=A68,"Sí","No")</f>
        <v>No</v>
      </c>
      <c r="E37" s="4"/>
      <c r="F37" s="4"/>
      <c r="G37" s="4"/>
      <c r="I37" s="4"/>
      <c r="J37" s="7" t="s">
        <v>259</v>
      </c>
      <c r="K37" s="8"/>
      <c r="L37" s="9">
        <f>IF(AND(C47="Sí",L36&lt;33007.2),TRUNC(L36*0.02),0)</f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75" customHeight="1" thickBot="1" x14ac:dyDescent="0.5">
      <c r="A38" s="4" t="s">
        <v>182</v>
      </c>
      <c r="B38" s="129" t="s">
        <v>181</v>
      </c>
      <c r="C38" s="18" t="s">
        <v>182</v>
      </c>
      <c r="D38" s="4"/>
      <c r="E38" s="4"/>
      <c r="F38" s="4"/>
      <c r="G38" s="4"/>
      <c r="I38" s="4"/>
      <c r="J38" s="7" t="s">
        <v>265</v>
      </c>
      <c r="K38" s="8"/>
      <c r="L38" s="9">
        <f>IF(L36-L39&lt;14582,7302,IF(L36-L39&lt;17673.52,7302-(1.75*(L36-L39-14852)),IF(L36-L39&lt;19747.5,2364.34-(1.14*(L36-L39-17673.52)),0)))</f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75" customHeight="1" thickBot="1" x14ac:dyDescent="0.5">
      <c r="A39" s="4" t="s">
        <v>184</v>
      </c>
      <c r="B39" s="131" t="s">
        <v>189</v>
      </c>
      <c r="C39" s="18" t="s">
        <v>138</v>
      </c>
      <c r="D39" s="4"/>
      <c r="E39" s="4"/>
      <c r="F39" s="4"/>
      <c r="G39" s="4"/>
      <c r="I39" s="4"/>
      <c r="J39" s="36" t="s">
        <v>236</v>
      </c>
      <c r="K39" s="37"/>
      <c r="L39" s="70">
        <f>SUM(L29:L32)*14+SUM(M29:M32)*2</f>
        <v>2803.2592723333332</v>
      </c>
      <c r="M39" s="4"/>
      <c r="N39" s="4"/>
      <c r="O39" s="22"/>
      <c r="P39" s="4"/>
      <c r="Q39" s="4"/>
      <c r="R39" s="4"/>
      <c r="S39" s="4"/>
      <c r="T39" s="4"/>
      <c r="U39" s="4"/>
      <c r="V39" s="4"/>
      <c r="W39" s="4"/>
    </row>
    <row r="40" spans="1:23" ht="14.75" customHeight="1" thickBot="1" x14ac:dyDescent="0.5">
      <c r="A40" s="4" t="s">
        <v>183</v>
      </c>
      <c r="B40" s="129" t="s">
        <v>192</v>
      </c>
      <c r="C40" s="18">
        <v>0</v>
      </c>
      <c r="D40" s="4"/>
      <c r="E40" s="4"/>
      <c r="F40" s="4"/>
      <c r="G40" s="4"/>
      <c r="I40" s="4"/>
      <c r="J40" s="36" t="s">
        <v>241</v>
      </c>
      <c r="K40" s="37"/>
      <c r="L40" s="70">
        <f>C33+2000+M40</f>
        <v>2000</v>
      </c>
      <c r="M40" s="4">
        <f>IF(AND(C38=A41,C39="No"),3500,IF(OR(C38=A40,C38=A41),7750,0))</f>
        <v>0</v>
      </c>
      <c r="N40" s="4"/>
      <c r="O40" s="22"/>
      <c r="P40" s="4"/>
      <c r="Q40" s="4"/>
      <c r="R40" s="4"/>
      <c r="S40" s="4"/>
      <c r="T40" s="4"/>
      <c r="U40" s="4"/>
      <c r="V40" s="4"/>
      <c r="W40" s="4"/>
    </row>
    <row r="41" spans="1:23" ht="14.75" customHeight="1" x14ac:dyDescent="0.45">
      <c r="A41" s="4" t="s">
        <v>185</v>
      </c>
      <c r="B41" s="173" t="s">
        <v>207</v>
      </c>
      <c r="C41" s="175">
        <v>0</v>
      </c>
      <c r="D41" s="4"/>
      <c r="E41" s="4"/>
      <c r="F41" s="4"/>
      <c r="G41" s="4"/>
      <c r="I41" s="4"/>
      <c r="J41" s="36" t="s">
        <v>170</v>
      </c>
      <c r="K41" s="37"/>
      <c r="L41" s="70">
        <f>IF(C32="Sí",1150+5550,5550)</f>
        <v>5550</v>
      </c>
      <c r="M41" s="4"/>
      <c r="N41" s="4"/>
      <c r="O41" s="22"/>
      <c r="P41" s="4"/>
      <c r="Q41" s="4"/>
      <c r="R41" s="4"/>
      <c r="S41" s="4"/>
      <c r="T41" s="4"/>
      <c r="U41" s="4"/>
      <c r="V41" s="4"/>
      <c r="W41" s="4"/>
    </row>
    <row r="42" spans="1:23" ht="14.75" customHeight="1" x14ac:dyDescent="0.45">
      <c r="A42" s="4"/>
      <c r="B42" s="173"/>
      <c r="C42" s="176"/>
      <c r="D42" s="4"/>
      <c r="E42" s="4"/>
      <c r="F42" s="4"/>
      <c r="G42" s="4"/>
      <c r="I42" s="4"/>
      <c r="J42" s="36" t="s">
        <v>172</v>
      </c>
      <c r="K42" s="37"/>
      <c r="L42" s="70">
        <f>SUM(C72:C75)</f>
        <v>0</v>
      </c>
      <c r="M42" s="4"/>
      <c r="N42" s="4"/>
      <c r="O42" s="22"/>
      <c r="P42" s="4"/>
      <c r="Q42" s="4"/>
      <c r="R42" s="4"/>
      <c r="S42" s="4"/>
      <c r="T42" s="4"/>
      <c r="U42" s="4"/>
      <c r="V42" s="4"/>
      <c r="W42" s="4"/>
    </row>
    <row r="43" spans="1:23" ht="14.75" customHeight="1" thickBot="1" x14ac:dyDescent="0.5">
      <c r="A43" s="4"/>
      <c r="B43" s="174"/>
      <c r="C43" s="177"/>
      <c r="D43" s="22"/>
      <c r="E43" s="22"/>
      <c r="F43" s="22"/>
      <c r="G43" s="22"/>
      <c r="I43" s="4"/>
      <c r="J43" s="36" t="s">
        <v>175</v>
      </c>
      <c r="K43" s="37"/>
      <c r="L43" s="70">
        <f>IF(C37="no",M48/2+1400*C36,M48+2800*C36)</f>
        <v>0</v>
      </c>
      <c r="M43" s="4"/>
      <c r="N43" s="4"/>
      <c r="O43" s="22"/>
      <c r="P43" s="4"/>
      <c r="Q43" s="4"/>
      <c r="R43" s="4"/>
      <c r="S43" s="4"/>
      <c r="T43" s="4"/>
      <c r="U43" s="4"/>
      <c r="V43" s="4"/>
      <c r="W43" s="4"/>
    </row>
    <row r="44" spans="1:23" ht="14.75" customHeight="1" x14ac:dyDescent="0.45">
      <c r="A44" s="4"/>
      <c r="B44" s="178" t="s">
        <v>207</v>
      </c>
      <c r="C44" s="175">
        <v>0</v>
      </c>
      <c r="D44" s="22"/>
      <c r="E44" s="22"/>
      <c r="F44" s="22"/>
      <c r="G44" s="22"/>
      <c r="I44" s="4"/>
      <c r="J44" s="36" t="s">
        <v>186</v>
      </c>
      <c r="K44" s="37"/>
      <c r="L44" s="70">
        <f>IF(C38=A40,9000,IF(C38=A41,3000,0))</f>
        <v>0</v>
      </c>
      <c r="M44" s="4"/>
      <c r="N44" s="4"/>
      <c r="O44" s="22"/>
      <c r="P44" s="4"/>
      <c r="Q44" s="4"/>
      <c r="R44" s="4"/>
      <c r="S44" s="4"/>
      <c r="T44" s="4"/>
      <c r="U44" s="4"/>
      <c r="V44" s="4"/>
      <c r="W44" s="4"/>
    </row>
    <row r="45" spans="1:23" ht="14.75" customHeight="1" x14ac:dyDescent="0.45">
      <c r="A45" s="4"/>
      <c r="B45" s="173"/>
      <c r="C45" s="176"/>
      <c r="D45" s="22"/>
      <c r="E45" s="22"/>
      <c r="F45" s="22"/>
      <c r="G45" s="22"/>
      <c r="I45" s="4"/>
      <c r="J45" s="36" t="s">
        <v>187</v>
      </c>
      <c r="K45" s="37"/>
      <c r="L45" s="70">
        <f>SUM(C76:C79)</f>
        <v>0</v>
      </c>
      <c r="M45" s="4"/>
      <c r="N45" s="4"/>
      <c r="O45" s="22"/>
      <c r="P45" s="4"/>
      <c r="Q45" s="4"/>
      <c r="R45" s="4"/>
      <c r="S45" s="4"/>
      <c r="T45" s="4"/>
      <c r="U45" s="4"/>
      <c r="V45" s="4"/>
      <c r="W45" s="4"/>
    </row>
    <row r="46" spans="1:23" ht="14.75" customHeight="1" thickBot="1" x14ac:dyDescent="0.5">
      <c r="A46" s="4"/>
      <c r="B46" s="174"/>
      <c r="C46" s="177"/>
      <c r="D46" s="22"/>
      <c r="E46" s="22"/>
      <c r="F46" s="22"/>
      <c r="G46" s="22"/>
      <c r="I46" s="4"/>
      <c r="J46" s="36" t="s">
        <v>188</v>
      </c>
      <c r="K46" s="37"/>
      <c r="L46" s="70">
        <f>IF(C37="Sí",M50,M50/2)</f>
        <v>0</v>
      </c>
      <c r="M46" s="4"/>
      <c r="N46" s="4"/>
      <c r="O46" s="22"/>
      <c r="P46" s="4"/>
      <c r="Q46" s="4"/>
      <c r="R46" s="4"/>
      <c r="S46" s="4"/>
      <c r="T46" s="4"/>
      <c r="U46" s="4"/>
      <c r="V46" s="4"/>
      <c r="W46" s="4"/>
    </row>
    <row r="47" spans="1:23" ht="14.75" customHeight="1" thickBot="1" x14ac:dyDescent="0.5">
      <c r="A47" s="4"/>
      <c r="B47" s="129" t="s">
        <v>267</v>
      </c>
      <c r="C47" s="18" t="s">
        <v>138</v>
      </c>
      <c r="D47" s="22"/>
      <c r="E47" s="22"/>
      <c r="F47" s="22"/>
      <c r="G47" s="22"/>
      <c r="I47" s="4"/>
      <c r="J47" s="36" t="s">
        <v>206</v>
      </c>
      <c r="K47" s="37"/>
      <c r="L47" s="70">
        <f>IF(OR(C39="Sí",C38=A40),3000,0)</f>
        <v>0</v>
      </c>
      <c r="M47" s="4"/>
      <c r="N47" s="4"/>
      <c r="O47" s="22"/>
      <c r="P47" s="4"/>
      <c r="Q47" s="4"/>
      <c r="R47" s="4"/>
      <c r="S47" s="4"/>
      <c r="T47" s="4"/>
      <c r="U47" s="4"/>
      <c r="V47" s="4"/>
      <c r="W47" s="4"/>
    </row>
    <row r="48" spans="1:23" ht="14.75" customHeight="1" thickBot="1" x14ac:dyDescent="0.5">
      <c r="A48" s="4"/>
      <c r="B48" s="129" t="s">
        <v>260</v>
      </c>
      <c r="C48" s="117"/>
      <c r="D48" s="4"/>
      <c r="E48" s="4"/>
      <c r="F48" s="4"/>
      <c r="G48" s="4"/>
      <c r="I48" s="4"/>
      <c r="J48" s="7" t="s">
        <v>208</v>
      </c>
      <c r="K48" s="8"/>
      <c r="L48" s="9">
        <f>SUM(L41:L47)</f>
        <v>5550</v>
      </c>
      <c r="M48" s="4">
        <f>IF(C35=1,Q33,IF(C35=2,Q34,IF(C35=3,Q35,IF(C35&lt;1,0,Q35+4500*(C35-3)))))</f>
        <v>0</v>
      </c>
      <c r="N48" s="4"/>
      <c r="O48" s="22"/>
      <c r="P48" s="4"/>
      <c r="Q48" s="4"/>
      <c r="R48" s="4"/>
      <c r="S48" s="4"/>
      <c r="T48" s="4"/>
      <c r="U48" s="4"/>
      <c r="V48" s="4"/>
      <c r="W48" s="4"/>
    </row>
    <row r="49" spans="1:23" ht="14.75" customHeight="1" thickBot="1" x14ac:dyDescent="0.5">
      <c r="A49" s="4"/>
      <c r="B49" s="25" t="s">
        <v>193</v>
      </c>
      <c r="C49" s="109"/>
      <c r="D49" s="4"/>
      <c r="E49" s="4"/>
      <c r="F49" s="4"/>
      <c r="G49" s="4"/>
      <c r="I49" s="4"/>
      <c r="J49" s="7" t="s">
        <v>209</v>
      </c>
      <c r="K49" s="8"/>
      <c r="L49" s="9">
        <f>MAX(0,L36-L39-L40-L38)</f>
        <v>32334.200727666663</v>
      </c>
      <c r="M49" s="4"/>
      <c r="N49" s="4"/>
      <c r="O49" s="22"/>
      <c r="P49" s="4"/>
      <c r="Q49" s="4"/>
      <c r="R49" s="4"/>
      <c r="S49" s="4"/>
      <c r="T49" s="4"/>
      <c r="U49" s="4"/>
      <c r="V49" s="4"/>
      <c r="W49" s="4"/>
    </row>
    <row r="50" spans="1:23" ht="14.75" customHeight="1" thickBot="1" x14ac:dyDescent="0.5">
      <c r="A50" s="4"/>
      <c r="B50" s="25" t="s">
        <v>194</v>
      </c>
      <c r="C50" s="109" t="s">
        <v>182</v>
      </c>
      <c r="D50" s="4"/>
      <c r="E50" s="4"/>
      <c r="F50" s="4"/>
      <c r="G50" s="4"/>
      <c r="I50" s="4"/>
      <c r="J50" s="7" t="s">
        <v>210</v>
      </c>
      <c r="K50" s="8"/>
      <c r="L50" s="9">
        <f>IF(L48&gt;12450,0,MAX(0,MIN(12450,L49)-L48))</f>
        <v>6900</v>
      </c>
      <c r="M50" s="4">
        <f>C40*12000+C41*6000+C44*3000</f>
        <v>0</v>
      </c>
      <c r="N50" s="4"/>
      <c r="O50" s="22"/>
      <c r="P50" s="4"/>
      <c r="Q50" s="4"/>
      <c r="R50" s="4"/>
      <c r="S50" s="4"/>
      <c r="T50" s="4"/>
      <c r="U50" s="4"/>
      <c r="V50" s="4"/>
      <c r="W50" s="4"/>
    </row>
    <row r="51" spans="1:23" ht="14.75" customHeight="1" thickBot="1" x14ac:dyDescent="0.5">
      <c r="A51" s="4"/>
      <c r="B51" s="25" t="s">
        <v>201</v>
      </c>
      <c r="C51" s="18" t="s">
        <v>138</v>
      </c>
      <c r="D51" s="4"/>
      <c r="E51" s="4"/>
      <c r="F51" s="4"/>
      <c r="G51" s="4"/>
      <c r="I51" s="4"/>
      <c r="J51" s="7" t="s">
        <v>211</v>
      </c>
      <c r="K51" s="8"/>
      <c r="L51" s="9">
        <f>IF(IF(L48&gt;20200,0,IF(L49&gt;20200,MIN(20200-L48,20200-12450),MIN(L49-L48,L49-12450)))&lt;0,0,IF(L48&gt;20200,0,IF(L49&gt;20200,MIN(20200-L48,20200-12450),MIN(L49-L48,L49-12450))))</f>
        <v>7750</v>
      </c>
      <c r="M51" s="4"/>
      <c r="N51" s="4"/>
      <c r="O51" s="22"/>
      <c r="P51" s="4"/>
      <c r="Q51" s="4"/>
      <c r="R51" s="4"/>
      <c r="S51" s="4"/>
      <c r="T51" s="4"/>
      <c r="U51" s="4"/>
      <c r="V51" s="4"/>
      <c r="W51" s="4"/>
    </row>
    <row r="52" spans="1:23" ht="14.75" customHeight="1" thickBot="1" x14ac:dyDescent="0.5">
      <c r="A52" s="4"/>
      <c r="B52" s="26" t="s">
        <v>195</v>
      </c>
      <c r="C52" s="109"/>
      <c r="D52" s="4"/>
      <c r="E52" s="4" t="s">
        <v>26</v>
      </c>
      <c r="F52" s="4"/>
      <c r="G52" s="4"/>
      <c r="I52" s="4"/>
      <c r="J52" s="7" t="s">
        <v>212</v>
      </c>
      <c r="K52" s="8"/>
      <c r="L52" s="9">
        <f>IF(IF(L48&gt;35200,0,IF(L49&gt;35200,MIN(35200-L48,35200-20200),MIN(L49-L48,L49-20200)))&lt;0,0,IF(L48&gt;35200,0,IF(L49&gt;35200,MIN(35200-L48,35200-20200),MIN(L49-L48,L49-20200))))</f>
        <v>12134.200727666663</v>
      </c>
      <c r="M52" s="4"/>
      <c r="N52" s="4"/>
      <c r="O52" s="22"/>
      <c r="P52" s="4"/>
      <c r="Q52" s="4"/>
      <c r="R52" s="4"/>
      <c r="S52" s="4"/>
      <c r="T52" s="4"/>
      <c r="U52" s="4"/>
      <c r="V52" s="4"/>
      <c r="W52" s="4"/>
    </row>
    <row r="53" spans="1:23" ht="14.75" customHeight="1" thickBot="1" x14ac:dyDescent="0.5">
      <c r="A53" s="4"/>
      <c r="B53" s="129" t="s">
        <v>261</v>
      </c>
      <c r="C53" s="117"/>
      <c r="D53" s="4"/>
      <c r="E53" s="4"/>
      <c r="F53" s="4"/>
      <c r="G53" s="4"/>
      <c r="I53" s="4"/>
      <c r="J53" s="7" t="s">
        <v>213</v>
      </c>
      <c r="K53" s="8"/>
      <c r="L53" s="9">
        <f>IF(IF(L48&gt;60000,0,IF(L49&gt;60000,MIN(35200-L48,60000-35200),MIN(L49-L48,L49-35200)))&lt;0,0,IF(L48&gt;60000,0,IF(L49&gt;60000,MIN(35200-L48,60000-35200),MIN(L49-L48,L49-35200))))</f>
        <v>0</v>
      </c>
      <c r="M53" s="4"/>
      <c r="N53" s="4"/>
      <c r="O53" s="22"/>
      <c r="P53" s="4"/>
      <c r="Q53" s="4"/>
      <c r="R53" s="4"/>
      <c r="S53" s="4"/>
      <c r="T53" s="4"/>
      <c r="U53" s="4"/>
      <c r="V53" s="4"/>
      <c r="W53" s="4"/>
    </row>
    <row r="54" spans="1:23" ht="14.75" customHeight="1" thickBot="1" x14ac:dyDescent="0.5">
      <c r="A54" s="4"/>
      <c r="B54" s="25" t="s">
        <v>193</v>
      </c>
      <c r="C54" s="109"/>
      <c r="D54" s="4"/>
      <c r="E54" s="4"/>
      <c r="F54" s="4"/>
      <c r="G54" s="4"/>
      <c r="I54" s="4"/>
      <c r="J54" s="7" t="s">
        <v>214</v>
      </c>
      <c r="K54" s="8"/>
      <c r="L54" s="9">
        <f>IF(IF(L48&gt;30000,0,IF(L49&gt;300000,MIN(60000-L48,300000-60000),MIN(L49-L48,L49-60000)))&lt;0,0,IF(L48&gt;30000,0,IF(L49&gt;300000,MIN(60000-L48,300000-60000),MIN(L49-L48,L49-60000))))</f>
        <v>0</v>
      </c>
      <c r="M54" s="4"/>
      <c r="N54" s="4"/>
      <c r="O54" s="22"/>
      <c r="P54" s="4"/>
      <c r="Q54" s="4"/>
      <c r="R54" s="4"/>
      <c r="S54" s="4"/>
      <c r="T54" s="4"/>
      <c r="U54" s="4"/>
      <c r="V54" s="4"/>
      <c r="W54" s="4"/>
    </row>
    <row r="55" spans="1:23" ht="14.75" customHeight="1" thickBot="1" x14ac:dyDescent="0.5">
      <c r="A55" s="4"/>
      <c r="B55" s="25" t="s">
        <v>194</v>
      </c>
      <c r="C55" s="109" t="s">
        <v>182</v>
      </c>
      <c r="D55" s="4"/>
      <c r="E55" s="4"/>
      <c r="F55" s="4"/>
      <c r="G55" s="4"/>
      <c r="I55" s="4"/>
      <c r="J55" s="7" t="s">
        <v>215</v>
      </c>
      <c r="K55" s="8"/>
      <c r="L55" s="9">
        <f>ROUND(L50*0.19,2)</f>
        <v>1311</v>
      </c>
      <c r="M55" s="4"/>
      <c r="N55" s="4"/>
      <c r="P55" s="4"/>
      <c r="Q55" s="4"/>
      <c r="R55" s="4"/>
      <c r="S55" s="4"/>
      <c r="T55" s="4"/>
      <c r="U55" s="4"/>
      <c r="V55" s="4"/>
      <c r="W55" s="4"/>
    </row>
    <row r="56" spans="1:23" ht="14.75" customHeight="1" thickBot="1" x14ac:dyDescent="0.5">
      <c r="A56" s="4"/>
      <c r="B56" s="25" t="s">
        <v>201</v>
      </c>
      <c r="C56" s="18" t="s">
        <v>138</v>
      </c>
      <c r="D56" s="4"/>
      <c r="E56" s="4"/>
      <c r="F56" s="4"/>
      <c r="G56" s="4"/>
      <c r="I56" s="4"/>
      <c r="J56" s="7" t="s">
        <v>216</v>
      </c>
      <c r="K56" s="8"/>
      <c r="L56" s="9">
        <f>ROUND(L51*0.24,2)</f>
        <v>1860</v>
      </c>
      <c r="M56" s="4"/>
      <c r="N56" s="4"/>
      <c r="P56" s="4"/>
      <c r="Q56" s="4"/>
      <c r="R56" s="4"/>
      <c r="S56" s="4"/>
      <c r="T56" s="4"/>
      <c r="U56" s="4"/>
      <c r="V56" s="4"/>
      <c r="W56" s="4"/>
    </row>
    <row r="57" spans="1:23" ht="14.75" customHeight="1" thickBot="1" x14ac:dyDescent="0.5">
      <c r="A57" s="4"/>
      <c r="B57" s="26" t="s">
        <v>195</v>
      </c>
      <c r="C57" s="109"/>
      <c r="D57" s="4"/>
      <c r="E57" s="4"/>
      <c r="F57" s="4"/>
      <c r="G57" s="4"/>
      <c r="I57" s="4"/>
      <c r="J57" s="7" t="s">
        <v>217</v>
      </c>
      <c r="K57" s="8"/>
      <c r="L57" s="9">
        <f>ROUND(L52*0.3,2)</f>
        <v>3640.26</v>
      </c>
      <c r="P57" s="4"/>
      <c r="Q57" s="4"/>
      <c r="R57" s="4"/>
      <c r="S57" s="4"/>
      <c r="T57" s="4"/>
      <c r="U57" s="4"/>
      <c r="V57" s="4"/>
      <c r="W57" s="4"/>
    </row>
    <row r="58" spans="1:23" ht="14.65" thickBot="1" x14ac:dyDescent="0.5">
      <c r="A58" s="4"/>
      <c r="B58" s="129" t="s">
        <v>262</v>
      </c>
      <c r="C58" s="117"/>
      <c r="D58" s="4"/>
      <c r="E58" s="4"/>
      <c r="F58" s="4"/>
      <c r="G58" s="4"/>
      <c r="I58" s="4"/>
      <c r="J58" s="7" t="s">
        <v>218</v>
      </c>
      <c r="K58" s="8"/>
      <c r="L58" s="9">
        <f>ROUND(L53*0.37,2)</f>
        <v>0</v>
      </c>
      <c r="P58" s="4"/>
      <c r="Q58" s="4"/>
      <c r="R58" s="4"/>
      <c r="S58" s="4"/>
      <c r="T58" s="4"/>
      <c r="U58" s="4"/>
      <c r="V58" s="4"/>
      <c r="W58" s="4"/>
    </row>
    <row r="59" spans="1:23" ht="14.65" thickBot="1" x14ac:dyDescent="0.5">
      <c r="A59" s="4"/>
      <c r="B59" s="25" t="s">
        <v>193</v>
      </c>
      <c r="C59" s="109"/>
      <c r="D59" s="4"/>
      <c r="E59" s="4"/>
      <c r="F59" s="4"/>
      <c r="G59" s="4"/>
      <c r="I59" s="4"/>
      <c r="J59" s="7" t="s">
        <v>219</v>
      </c>
      <c r="K59" s="8"/>
      <c r="L59" s="9">
        <f>ROUND(L54*0.45,2)</f>
        <v>0</v>
      </c>
      <c r="P59" s="4"/>
      <c r="Q59" s="4"/>
      <c r="R59" s="4"/>
      <c r="S59" s="4"/>
      <c r="T59" s="4"/>
      <c r="U59" s="4"/>
      <c r="V59" s="4"/>
      <c r="W59" s="4"/>
    </row>
    <row r="60" spans="1:23" ht="14.65" thickBot="1" x14ac:dyDescent="0.5">
      <c r="A60" s="4"/>
      <c r="B60" s="25" t="s">
        <v>194</v>
      </c>
      <c r="C60" s="109" t="s">
        <v>182</v>
      </c>
      <c r="D60" s="4"/>
      <c r="E60" s="4"/>
      <c r="F60" s="4"/>
      <c r="G60" s="4"/>
      <c r="I60" s="4"/>
      <c r="J60" s="7" t="s">
        <v>266</v>
      </c>
      <c r="K60" s="8"/>
      <c r="L60" s="49">
        <f>SUM(L55:L59)</f>
        <v>6811.26</v>
      </c>
      <c r="P60" s="4"/>
      <c r="Q60" s="4"/>
      <c r="R60" s="4"/>
      <c r="S60" s="4"/>
      <c r="T60" s="4"/>
      <c r="U60" s="4"/>
      <c r="V60" s="4"/>
      <c r="W60" s="4"/>
    </row>
    <row r="61" spans="1:23" ht="14.65" thickBot="1" x14ac:dyDescent="0.5">
      <c r="A61" s="4"/>
      <c r="B61" s="27" t="s">
        <v>201</v>
      </c>
      <c r="C61" s="18" t="s">
        <v>138</v>
      </c>
      <c r="D61" s="4"/>
      <c r="E61" s="4"/>
      <c r="F61" s="4"/>
      <c r="G61" s="4"/>
      <c r="I61" s="4"/>
      <c r="J61" s="7" t="s">
        <v>264</v>
      </c>
      <c r="K61" s="8"/>
      <c r="L61" s="49">
        <f>MAX(0,C131-L37)</f>
        <v>6811.2602182999981</v>
      </c>
    </row>
    <row r="62" spans="1:23" ht="14.65" thickBot="1" x14ac:dyDescent="0.5">
      <c r="A62" s="4"/>
      <c r="B62" s="26" t="s">
        <v>195</v>
      </c>
      <c r="C62" s="109"/>
      <c r="D62" s="4"/>
      <c r="E62" s="4"/>
      <c r="F62" s="4"/>
      <c r="G62" s="4"/>
      <c r="I62" s="4"/>
      <c r="J62" s="80" t="s">
        <v>220</v>
      </c>
      <c r="K62" s="81"/>
      <c r="L62" s="82">
        <f>IF(M62&lt;0.02,0.02,M62)</f>
        <v>0.18340672733137917</v>
      </c>
      <c r="M62" s="86">
        <f>IF(L61&lt;L60,L61/L36,L60/L36)</f>
        <v>0.18340672733137917</v>
      </c>
    </row>
    <row r="63" spans="1:23" ht="14.65" thickBot="1" x14ac:dyDescent="0.5">
      <c r="A63" s="4"/>
      <c r="B63" s="129" t="s">
        <v>263</v>
      </c>
      <c r="C63" s="117"/>
      <c r="D63" s="4"/>
      <c r="E63" s="4"/>
      <c r="F63" s="4"/>
      <c r="G63" s="4"/>
      <c r="I63" s="4"/>
    </row>
    <row r="64" spans="1:23" ht="14.65" thickBot="1" x14ac:dyDescent="0.5">
      <c r="A64" s="4"/>
      <c r="B64" s="25" t="s">
        <v>193</v>
      </c>
      <c r="C64" s="109"/>
      <c r="D64" s="4"/>
      <c r="E64" s="4"/>
      <c r="F64" s="4"/>
      <c r="G64" s="4"/>
      <c r="I64" s="4"/>
      <c r="J64" s="74" t="s">
        <v>222</v>
      </c>
      <c r="K64" s="77"/>
      <c r="L64" s="78"/>
    </row>
    <row r="65" spans="1:12" ht="14.65" thickBot="1" x14ac:dyDescent="0.5">
      <c r="A65" s="4"/>
      <c r="B65" s="25" t="s">
        <v>194</v>
      </c>
      <c r="C65" s="109" t="s">
        <v>182</v>
      </c>
      <c r="D65" s="4"/>
      <c r="E65" s="4"/>
      <c r="F65" s="4"/>
      <c r="G65" s="4"/>
      <c r="I65" s="4"/>
      <c r="J65" s="7" t="s">
        <v>224</v>
      </c>
      <c r="L65" s="71">
        <v>4.7E-2</v>
      </c>
    </row>
    <row r="66" spans="1:12" ht="14.65" thickBot="1" x14ac:dyDescent="0.5">
      <c r="A66" s="4"/>
      <c r="B66" s="27" t="s">
        <v>201</v>
      </c>
      <c r="C66" s="18" t="s">
        <v>138</v>
      </c>
      <c r="D66" s="4"/>
      <c r="E66" s="4"/>
      <c r="F66" s="4"/>
      <c r="G66" s="4"/>
      <c r="I66" s="4"/>
      <c r="J66" s="7" t="s">
        <v>225</v>
      </c>
      <c r="L66" s="71">
        <v>1.1999999999999999E-3</v>
      </c>
    </row>
    <row r="67" spans="1:12" ht="14.65" thickBot="1" x14ac:dyDescent="0.5">
      <c r="A67" s="4"/>
      <c r="B67" s="27" t="s">
        <v>195</v>
      </c>
      <c r="C67" s="109"/>
      <c r="D67" s="4"/>
      <c r="E67" s="4"/>
      <c r="F67" s="4"/>
      <c r="G67" s="4"/>
      <c r="I67" s="4"/>
      <c r="J67" s="7" t="s">
        <v>230</v>
      </c>
      <c r="L67" s="71">
        <v>0.28299999999999997</v>
      </c>
    </row>
    <row r="68" spans="1:12" ht="14.65" thickBot="1" x14ac:dyDescent="0.5">
      <c r="A68" s="30" t="s">
        <v>240</v>
      </c>
      <c r="B68" s="41" t="s">
        <v>237</v>
      </c>
      <c r="C68" s="69">
        <f>IF(B69=A68,1,IF(B69=A69,2,IF(B69=A72,3,0)))</f>
        <v>3</v>
      </c>
      <c r="D68" s="4"/>
      <c r="E68" s="4"/>
      <c r="F68" s="4"/>
      <c r="G68" s="4"/>
      <c r="I68" s="4"/>
      <c r="J68" s="7" t="s">
        <v>229</v>
      </c>
      <c r="L68" s="40">
        <v>1.0999999999999999E-2</v>
      </c>
    </row>
    <row r="69" spans="1:12" ht="14.75" customHeight="1" thickBot="1" x14ac:dyDescent="0.5">
      <c r="A69" s="30" t="s">
        <v>238</v>
      </c>
      <c r="B69" s="181" t="s">
        <v>239</v>
      </c>
      <c r="C69" s="182"/>
      <c r="D69" s="4"/>
      <c r="E69" s="4"/>
      <c r="F69" s="4"/>
      <c r="G69" s="4"/>
      <c r="I69" s="4"/>
      <c r="J69" s="80" t="s">
        <v>228</v>
      </c>
      <c r="K69" s="81"/>
      <c r="L69" s="83">
        <f>L65+L66-ROUND((L67*L68),4)</f>
        <v>4.5100000000000001E-2</v>
      </c>
    </row>
    <row r="70" spans="1:12" ht="14.75" customHeight="1" x14ac:dyDescent="0.45">
      <c r="A70" s="30"/>
      <c r="B70" s="183"/>
      <c r="C70" s="184"/>
      <c r="D70" s="4"/>
      <c r="E70" s="4"/>
      <c r="F70" s="4"/>
      <c r="G70" s="4"/>
      <c r="I70" s="4"/>
    </row>
    <row r="71" spans="1:12" ht="14.75" customHeight="1" thickBot="1" x14ac:dyDescent="0.5">
      <c r="A71" s="30"/>
      <c r="B71" s="185"/>
      <c r="C71" s="186"/>
      <c r="D71" s="4"/>
      <c r="E71" s="4"/>
      <c r="F71" s="4"/>
      <c r="G71" s="4"/>
      <c r="I71" s="4"/>
    </row>
    <row r="72" spans="1:12" x14ac:dyDescent="0.45">
      <c r="A72" s="30" t="s">
        <v>239</v>
      </c>
      <c r="B72" s="4" t="s">
        <v>197</v>
      </c>
      <c r="C72" s="4">
        <f>IF(C49&gt;=75,ROUND((1150+1400)/C52,2),IF(C49&gt;=65,ROUND(1150/C52,2),0))</f>
        <v>0</v>
      </c>
      <c r="D72" s="4"/>
      <c r="E72" s="4"/>
      <c r="F72" s="4"/>
      <c r="G72" s="4"/>
      <c r="I72" s="4"/>
      <c r="J72" s="74" t="s">
        <v>223</v>
      </c>
      <c r="K72" s="77"/>
      <c r="L72" s="78"/>
    </row>
    <row r="73" spans="1:12" x14ac:dyDescent="0.45">
      <c r="A73" s="4"/>
      <c r="B73" s="4" t="s">
        <v>198</v>
      </c>
      <c r="C73" s="4">
        <f>IF(C54&gt;=75,ROUND((1150+1400)/C57,2),IF(C54&gt;=65,ROUND(1150/C57,2),0))</f>
        <v>0</v>
      </c>
      <c r="D73" s="4"/>
      <c r="E73" s="4"/>
      <c r="F73" s="4"/>
      <c r="G73" s="4"/>
      <c r="I73" s="4"/>
      <c r="J73" s="7" t="s">
        <v>224</v>
      </c>
      <c r="L73" s="71">
        <v>4.7E-2</v>
      </c>
    </row>
    <row r="74" spans="1:12" x14ac:dyDescent="0.45">
      <c r="A74" s="4"/>
      <c r="B74" s="4" t="s">
        <v>199</v>
      </c>
      <c r="C74" s="4">
        <f>IF(C59&gt;=75,ROUND((1150+1400)/C62,2),IF(C59&gt;=65,ROUND(1150/C62,2),0))</f>
        <v>0</v>
      </c>
      <c r="D74" s="4"/>
      <c r="E74" s="4"/>
      <c r="F74" s="4"/>
      <c r="G74" s="4"/>
      <c r="I74" s="4"/>
      <c r="J74" s="7" t="s">
        <v>225</v>
      </c>
      <c r="L74" s="71">
        <v>1.1999999999999999E-3</v>
      </c>
    </row>
    <row r="75" spans="1:12" x14ac:dyDescent="0.45">
      <c r="A75" s="4"/>
      <c r="B75" s="4" t="s">
        <v>200</v>
      </c>
      <c r="C75" s="4">
        <f>IF(C64&gt;=75,ROUND((1150+1400)/C67,2),IF(C64&gt;=65,ROUND(1150/C67,2),0))</f>
        <v>0</v>
      </c>
      <c r="D75" s="4"/>
      <c r="E75" s="4"/>
      <c r="F75" s="4"/>
      <c r="G75" s="4"/>
      <c r="I75" s="4"/>
      <c r="J75" s="7" t="s">
        <v>226</v>
      </c>
      <c r="L75" s="71">
        <v>1.55E-2</v>
      </c>
    </row>
    <row r="76" spans="1:12" x14ac:dyDescent="0.45">
      <c r="B76" s="4" t="s">
        <v>202</v>
      </c>
      <c r="C76" s="4">
        <f>IF(C49&lt;65,0,IF(C50=A40,ROUND(12000/C52,2),IF(AND(C50=A41,C51="No"),ROUND(3000/C52,2),IF(AND(C50=A41,C51="Sí"),ROUND(6000/C52,2),""))))</f>
        <v>0</v>
      </c>
      <c r="D76" s="4"/>
      <c r="E76" s="4"/>
      <c r="F76" s="4"/>
      <c r="G76" s="4"/>
      <c r="I76" s="4"/>
      <c r="J76" s="7" t="s">
        <v>227</v>
      </c>
      <c r="L76" s="71">
        <v>1E-3</v>
      </c>
    </row>
    <row r="77" spans="1:12" ht="14.65" thickBot="1" x14ac:dyDescent="0.5">
      <c r="B77" s="4" t="s">
        <v>203</v>
      </c>
      <c r="C77" s="4">
        <f>IF(C54&lt;65,0,IF(C55=A40,ROUND(12000/C57,2),IF(AND(C55=A41,C56="No"),ROUND(3000/C57,2),IF(AND(C55=A41,C56="Sí"),ROUND(6000/C57,2),""))))</f>
        <v>0</v>
      </c>
      <c r="D77" s="4"/>
      <c r="E77" s="4"/>
      <c r="F77" s="4"/>
      <c r="G77" s="4"/>
      <c r="I77" s="4"/>
      <c r="J77" s="80" t="s">
        <v>228</v>
      </c>
      <c r="K77" s="81"/>
      <c r="L77" s="82">
        <f>SUM(L73:L76)</f>
        <v>6.4700000000000008E-2</v>
      </c>
    </row>
    <row r="78" spans="1:12" x14ac:dyDescent="0.45">
      <c r="B78" s="4" t="s">
        <v>204</v>
      </c>
      <c r="C78" s="4">
        <f>IF(C59&lt;65,0,IF(C60=A40,ROUND(12000/C62,2),IF(AND(C60=A41,C61="No"),ROUND(3000/C62,2),IF(AND(C60=A41,C61="Sí"),ROUND(6000/C62,2),""))))</f>
        <v>0</v>
      </c>
      <c r="D78" s="4"/>
      <c r="E78" s="4"/>
      <c r="F78" s="4"/>
      <c r="G78" s="4"/>
      <c r="I78" s="4"/>
    </row>
    <row r="79" spans="1:12" x14ac:dyDescent="0.45">
      <c r="B79" s="4" t="s">
        <v>205</v>
      </c>
      <c r="C79" s="4">
        <f>IF(C64&lt;65,0,IF(C65=A40,ROUND(12000/C67,2),IF(AND(C65=A41,C66="No"),ROUND(3000/C67,2),IF(AND(C65=A41,C66="Sí"),ROUND(6000/C67,2),""))))</f>
        <v>0</v>
      </c>
      <c r="D79" s="4"/>
      <c r="E79" s="4"/>
      <c r="F79" s="4"/>
      <c r="G79" s="4"/>
      <c r="I79" s="4"/>
    </row>
    <row r="80" spans="1:12" x14ac:dyDescent="0.45">
      <c r="B80" s="4"/>
      <c r="C80" s="4"/>
      <c r="D80" s="4"/>
      <c r="E80" s="4"/>
      <c r="F80" s="4"/>
      <c r="G80" s="4"/>
      <c r="I80" s="4"/>
    </row>
    <row r="81" spans="2:9" x14ac:dyDescent="0.45">
      <c r="B81" s="4" t="s">
        <v>242</v>
      </c>
      <c r="C81" s="4"/>
      <c r="E81" s="4"/>
      <c r="F81" s="4"/>
      <c r="G81" s="4"/>
      <c r="I81" s="4"/>
    </row>
    <row r="82" spans="2:9" x14ac:dyDescent="0.45">
      <c r="B82" s="4" t="s">
        <v>243</v>
      </c>
      <c r="C82" s="33">
        <f>L49-C34</f>
        <v>32334.200727666663</v>
      </c>
      <c r="E82" s="4"/>
      <c r="F82" s="4"/>
      <c r="G82" s="4"/>
      <c r="I82" s="4"/>
    </row>
    <row r="83" spans="2:9" x14ac:dyDescent="0.45">
      <c r="B83" s="4" t="s">
        <v>244</v>
      </c>
      <c r="C83" s="33">
        <f>C34</f>
        <v>0</v>
      </c>
      <c r="E83" s="4"/>
      <c r="F83" s="4"/>
      <c r="G83" s="4"/>
      <c r="I83" s="4"/>
    </row>
    <row r="84" spans="2:9" x14ac:dyDescent="0.45">
      <c r="B84" s="4" t="s">
        <v>245</v>
      </c>
      <c r="C84" s="34">
        <f>MAX(B86:B91)</f>
        <v>7865.7602182999981</v>
      </c>
      <c r="E84" s="4"/>
      <c r="F84" s="4"/>
      <c r="G84" s="4"/>
      <c r="I84" s="4"/>
    </row>
    <row r="85" spans="2:9" x14ac:dyDescent="0.45">
      <c r="B85" s="4" t="s">
        <v>247</v>
      </c>
      <c r="C85" s="4"/>
      <c r="E85" s="4"/>
      <c r="F85" s="4"/>
      <c r="G85" s="4"/>
      <c r="I85" s="4"/>
    </row>
    <row r="86" spans="2:9" x14ac:dyDescent="0.45">
      <c r="B86" s="4" t="str">
        <f>IF(C82&lt;12450,0+(C82)*0.19,"")</f>
        <v/>
      </c>
      <c r="C86" s="4"/>
      <c r="E86" s="4"/>
      <c r="F86" s="4"/>
      <c r="G86" s="4"/>
      <c r="I86" s="4"/>
    </row>
    <row r="87" spans="2:9" x14ac:dyDescent="0.45">
      <c r="B87" s="4" t="str">
        <f>IF(AND(C82&gt;=12450,C82&lt;20200),2365.5+(C82-12450)*0.24,"")</f>
        <v/>
      </c>
      <c r="C87" s="4"/>
      <c r="E87" s="4"/>
      <c r="F87" s="4"/>
      <c r="G87" s="4"/>
      <c r="I87" s="4"/>
    </row>
    <row r="88" spans="2:9" x14ac:dyDescent="0.45">
      <c r="B88" s="4">
        <f>IF(AND(C82&gt;=20200,C82&lt;35200),4225.5+(C82-20200)*0.3,"")</f>
        <v>7865.7602182999981</v>
      </c>
      <c r="C88" s="4"/>
      <c r="E88" s="4"/>
      <c r="F88" s="4"/>
      <c r="G88" s="4"/>
      <c r="I88" s="4"/>
    </row>
    <row r="89" spans="2:9" x14ac:dyDescent="0.45">
      <c r="B89" s="4" t="str">
        <f>IF(AND(C82&gt;=35200,C82&lt;60000),8725.5+(C82-35200)*0.37,"")</f>
        <v/>
      </c>
      <c r="C89" s="4"/>
      <c r="E89" s="4"/>
      <c r="F89" s="4"/>
      <c r="G89" s="4"/>
      <c r="I89" s="4"/>
    </row>
    <row r="90" spans="2:9" x14ac:dyDescent="0.45">
      <c r="B90" s="4" t="str">
        <f>IF(AND(C82&gt;=60000,C82&lt;300000),17901.5+(C82-60000)*0.45,"")</f>
        <v/>
      </c>
      <c r="C90" s="4"/>
      <c r="E90" s="4"/>
      <c r="F90" s="4"/>
      <c r="G90" s="4"/>
      <c r="I90" s="4"/>
    </row>
    <row r="91" spans="2:9" x14ac:dyDescent="0.45">
      <c r="B91" s="4" t="str">
        <f>IF(C82&gt;300000,125901.5+(C82-300000)*0.47,"")</f>
        <v/>
      </c>
      <c r="C91" s="4"/>
      <c r="E91" s="4"/>
      <c r="F91" s="4"/>
      <c r="G91" s="4"/>
      <c r="I91" s="4"/>
    </row>
    <row r="92" spans="2:9" x14ac:dyDescent="0.45">
      <c r="B92" s="4" t="s">
        <v>246</v>
      </c>
      <c r="C92" s="34">
        <f>MAX(B93:B98)</f>
        <v>0</v>
      </c>
      <c r="E92" s="4"/>
      <c r="F92" s="4"/>
      <c r="G92" s="4"/>
      <c r="I92" s="4"/>
    </row>
    <row r="93" spans="2:9" x14ac:dyDescent="0.45">
      <c r="B93" s="4">
        <f>IF(C83&lt;12450,0+(C83)*0.19,"")</f>
        <v>0</v>
      </c>
      <c r="C93" s="4"/>
      <c r="E93" s="4"/>
      <c r="F93" s="4"/>
      <c r="G93" s="4"/>
      <c r="I93" s="4"/>
    </row>
    <row r="94" spans="2:9" x14ac:dyDescent="0.45">
      <c r="B94" s="4" t="str">
        <f>IF(AND(C83&gt;=12450,C83&lt;20200),2365.5+(C83-12450)*0.24,"")</f>
        <v/>
      </c>
      <c r="C94" s="4"/>
      <c r="E94" s="4"/>
      <c r="F94" s="4"/>
      <c r="G94" s="4"/>
      <c r="I94" s="4"/>
    </row>
    <row r="95" spans="2:9" x14ac:dyDescent="0.45">
      <c r="B95" s="4" t="str">
        <f>IF(AND(C83&gt;=20200,C83&lt;35200),4225.5+(C83-20200)*0.3,"")</f>
        <v/>
      </c>
      <c r="C95" s="4"/>
      <c r="E95" s="4"/>
      <c r="F95" s="4"/>
      <c r="G95" s="4"/>
      <c r="I95" s="4"/>
    </row>
    <row r="96" spans="2:9" x14ac:dyDescent="0.45">
      <c r="B96" s="4" t="str">
        <f>IF(AND(C83&gt;=35200,C83&lt;60000),8725.5+(C83-35200)*0.37,"")</f>
        <v/>
      </c>
      <c r="C96" s="4"/>
      <c r="E96" s="4"/>
      <c r="F96" s="4"/>
      <c r="G96" s="4"/>
      <c r="I96" s="4"/>
    </row>
    <row r="97" spans="2:3" x14ac:dyDescent="0.45">
      <c r="B97" s="4" t="str">
        <f>IF(AND(C83&gt;=60000,C83&lt;300000),17901.5+(C83-60000)*0.45,"")</f>
        <v/>
      </c>
      <c r="C97" s="4"/>
    </row>
    <row r="98" spans="2:3" x14ac:dyDescent="0.45">
      <c r="B98" s="4" t="str">
        <f>IF(C83&gt;300000,125901.5+(C83-300000)*0.47,"")</f>
        <v/>
      </c>
      <c r="C98" s="4"/>
    </row>
    <row r="99" spans="2:3" x14ac:dyDescent="0.45">
      <c r="B99" s="4" t="s">
        <v>248</v>
      </c>
      <c r="C99" s="33">
        <f>IF(AND(C34&gt;0,L49-C34&gt;0),C92+C84,C109)</f>
        <v>7865.7602182999981</v>
      </c>
    </row>
    <row r="100" spans="2:3" x14ac:dyDescent="0.45">
      <c r="B100" s="4" t="s">
        <v>249</v>
      </c>
      <c r="C100" s="34">
        <f>IF(AND(C34&gt;0,L49-C34&gt;0),L48+1980,L48)</f>
        <v>5550</v>
      </c>
    </row>
    <row r="101" spans="2:3" x14ac:dyDescent="0.45">
      <c r="B101" s="4" t="s">
        <v>250</v>
      </c>
      <c r="C101" s="34">
        <f>MAX(B102:B107)</f>
        <v>1054.5</v>
      </c>
    </row>
    <row r="102" spans="2:3" x14ac:dyDescent="0.45">
      <c r="B102" s="4">
        <f>IF(C100&lt;12450,0+(C100)*0.19,"")</f>
        <v>1054.5</v>
      </c>
      <c r="C102" s="4"/>
    </row>
    <row r="103" spans="2:3" x14ac:dyDescent="0.45">
      <c r="B103" s="4" t="str">
        <f>IF(AND(C100&gt;=12450,C100&lt;20200),2365.5+(C100-12450)*0.24,"")</f>
        <v/>
      </c>
      <c r="C103" s="4"/>
    </row>
    <row r="104" spans="2:3" x14ac:dyDescent="0.45">
      <c r="B104" s="4" t="str">
        <f>IF(AND(C100&gt;=20200,C100&lt;35200),4225.5+(C100-20200)*0.3,"")</f>
        <v/>
      </c>
      <c r="C104" s="4"/>
    </row>
    <row r="105" spans="2:3" x14ac:dyDescent="0.45">
      <c r="B105" s="4" t="str">
        <f>IF(AND(C100&gt;=35200,C100&lt;60000),8725.5+(C100-35200)*0.37,"")</f>
        <v/>
      </c>
      <c r="C105" s="4"/>
    </row>
    <row r="106" spans="2:3" x14ac:dyDescent="0.45">
      <c r="B106" s="4" t="str">
        <f>IF(AND(C100&gt;=60000,C100&lt;300000),17901.5+(C100-60000)*0.45,"")</f>
        <v/>
      </c>
      <c r="C106" s="4"/>
    </row>
    <row r="107" spans="2:3" x14ac:dyDescent="0.45">
      <c r="B107" s="4" t="str">
        <f>IF(C100&gt;300000,125901.5+(C100-300000)*0.47,"")</f>
        <v/>
      </c>
      <c r="C107" s="4"/>
    </row>
    <row r="108" spans="2:3" x14ac:dyDescent="0.45">
      <c r="B108" s="4" t="s">
        <v>251</v>
      </c>
      <c r="C108" s="35">
        <f>IF(C99&gt;C101,C99-C101,L60)</f>
        <v>6811.2602182999981</v>
      </c>
    </row>
    <row r="109" spans="2:3" x14ac:dyDescent="0.45">
      <c r="B109" s="4" t="s">
        <v>252</v>
      </c>
      <c r="C109" s="34">
        <f>MAX(B110:B116)</f>
        <v>7865.7602182999981</v>
      </c>
    </row>
    <row r="110" spans="2:3" x14ac:dyDescent="0.45">
      <c r="B110" s="4" t="str">
        <f>IF(L49&lt;12450,0+(L49)*0.19,"")</f>
        <v/>
      </c>
      <c r="C110" s="4"/>
    </row>
    <row r="111" spans="2:3" x14ac:dyDescent="0.45">
      <c r="B111" s="4" t="str">
        <f>IF(AND(L49&gt;=12450,L49&lt;20200),2365.5+(L49-12450)*0.24,"")</f>
        <v/>
      </c>
      <c r="C111" s="4"/>
    </row>
    <row r="112" spans="2:3" x14ac:dyDescent="0.45">
      <c r="B112" s="4">
        <f>IF(AND(L49&gt;=20200,L49&lt;35200),4225.5+(L49-20200)*0.3,"")</f>
        <v>7865.7602182999981</v>
      </c>
      <c r="C112" s="4"/>
    </row>
    <row r="113" spans="2:3" x14ac:dyDescent="0.45">
      <c r="B113" s="4" t="str">
        <f>IF(AND(L49&gt;=35200,L49&lt;60000),8725.5+(L49-35200)*0.37,"")</f>
        <v/>
      </c>
      <c r="C113" s="4"/>
    </row>
    <row r="114" spans="2:3" x14ac:dyDescent="0.45">
      <c r="B114" s="4" t="str">
        <f>IF(AND(L49&gt;=60000,L49&lt;300000),17901.5+(L49-60000)*0.45,"")</f>
        <v/>
      </c>
      <c r="C114" s="4"/>
    </row>
    <row r="115" spans="2:3" x14ac:dyDescent="0.45">
      <c r="B115" s="4" t="str">
        <f>IF(L49&gt;300000,125901.5+(L49-300000)*0.47,"")</f>
        <v/>
      </c>
      <c r="C115" s="4"/>
    </row>
    <row r="116" spans="2:3" x14ac:dyDescent="0.45">
      <c r="B116" s="4"/>
      <c r="C116" s="4"/>
    </row>
    <row r="117" spans="2:3" x14ac:dyDescent="0.45">
      <c r="B117" s="4"/>
      <c r="C117" s="4"/>
    </row>
    <row r="118" spans="2:3" x14ac:dyDescent="0.45">
      <c r="B118" s="4" t="s">
        <v>253</v>
      </c>
      <c r="C118" s="4"/>
    </row>
    <row r="119" spans="2:3" x14ac:dyDescent="0.45">
      <c r="B119" s="4" t="s">
        <v>255</v>
      </c>
      <c r="C119" s="4"/>
    </row>
    <row r="120" spans="2:3" x14ac:dyDescent="0.45">
      <c r="B120" s="4" t="s">
        <v>254</v>
      </c>
      <c r="C120" s="4"/>
    </row>
    <row r="121" spans="2:3" x14ac:dyDescent="0.45">
      <c r="B121" s="4">
        <f>IF(AND(L36&lt;=35200,C68=1,C35=1),(L36-(17270+C120+C121))*0.43,0)</f>
        <v>0</v>
      </c>
      <c r="C121" s="4"/>
    </row>
    <row r="122" spans="2:3" x14ac:dyDescent="0.45">
      <c r="B122" s="4">
        <f>IF(AND(L36&lt;=35200,C68=1,C35&gt;1),(L36-(18617+C120+C121))*0.43,0)</f>
        <v>0</v>
      </c>
      <c r="C122" s="4"/>
    </row>
    <row r="123" spans="2:3" x14ac:dyDescent="0.45">
      <c r="B123" s="4">
        <f>IF(AND(L36&lt;=35200,C68=2,C35=0),(L36-(16696+C120+C121))*0.43,0)</f>
        <v>0</v>
      </c>
      <c r="C123" s="4"/>
    </row>
    <row r="124" spans="2:3" x14ac:dyDescent="0.45">
      <c r="B124" s="4">
        <f>IF(AND(L36&lt;=35200,C68=2,C35=1),(L36-(17894+C120+C121))*0.43,0)</f>
        <v>0</v>
      </c>
      <c r="C124" s="4"/>
    </row>
    <row r="125" spans="2:3" x14ac:dyDescent="0.45">
      <c r="B125" s="4">
        <f>IF(AND(L36&lt;=35200,C68=2,C35&gt;1),(L36-(19241+C120+C121))*0.43,0)</f>
        <v>0</v>
      </c>
      <c r="C125" s="4"/>
    </row>
    <row r="126" spans="2:3" x14ac:dyDescent="0.45">
      <c r="B126" s="4">
        <f>IF(AND(L36&lt;=35200,C68=3,C35=0),(L36-(15000+C120+C121))*0.43,0)</f>
        <v>0</v>
      </c>
      <c r="C126" s="4"/>
    </row>
    <row r="127" spans="2:3" x14ac:dyDescent="0.45">
      <c r="B127" s="4">
        <f>IF(AND(L36&lt;=35200,C68=3,C35=1),(L36-(15599+C120+C121))*0.43,0)</f>
        <v>0</v>
      </c>
      <c r="C127" s="4"/>
    </row>
    <row r="128" spans="2:3" x14ac:dyDescent="0.45">
      <c r="B128" s="4">
        <f>IF(AND(L36&lt;=35200,C68=3,C35&gt;1),(L36-(16272+C120+C121))*0.43,0)</f>
        <v>0</v>
      </c>
      <c r="C128" s="4"/>
    </row>
    <row r="129" spans="2:3" x14ac:dyDescent="0.45">
      <c r="B129" s="4" t="s">
        <v>257</v>
      </c>
      <c r="C129" s="4" t="str">
        <f>IF(MAX(B121:B128)&gt;0,"Sí","No")</f>
        <v>No</v>
      </c>
    </row>
    <row r="130" spans="2:3" x14ac:dyDescent="0.45">
      <c r="B130" s="4" t="s">
        <v>258</v>
      </c>
      <c r="C130" s="4">
        <f>MAX(B121:B128)</f>
        <v>0</v>
      </c>
    </row>
    <row r="131" spans="2:3" x14ac:dyDescent="0.45">
      <c r="B131" s="4" t="s">
        <v>256</v>
      </c>
      <c r="C131" s="35">
        <f>IF(C129="No",C108,IF(C108&gt;C130,C130,C108))</f>
        <v>6811.2602182999981</v>
      </c>
    </row>
    <row r="132" spans="2:3" x14ac:dyDescent="0.45">
      <c r="B132" s="4"/>
      <c r="C132" s="4"/>
    </row>
    <row r="133" spans="2:3" x14ac:dyDescent="0.45">
      <c r="B133" s="4"/>
      <c r="C133" s="4"/>
    </row>
    <row r="134" spans="2:3" x14ac:dyDescent="0.45">
      <c r="B134" s="4"/>
      <c r="C134" s="4"/>
    </row>
    <row r="135" spans="2:3" x14ac:dyDescent="0.45">
      <c r="B135" s="4"/>
      <c r="C135" s="4"/>
    </row>
    <row r="136" spans="2:3" x14ac:dyDescent="0.45">
      <c r="B136" s="4"/>
      <c r="C136" s="4"/>
    </row>
    <row r="137" spans="2:3" x14ac:dyDescent="0.45">
      <c r="B137" s="4"/>
      <c r="C137" s="4"/>
    </row>
    <row r="138" spans="2:3" x14ac:dyDescent="0.45">
      <c r="B138" s="4"/>
      <c r="C138" s="4"/>
    </row>
    <row r="139" spans="2:3" x14ac:dyDescent="0.45">
      <c r="B139" s="4"/>
      <c r="C139" s="4"/>
    </row>
  </sheetData>
  <sheetProtection algorithmName="SHA-512" hashValue="7/BuxRoWOY95sH8i0W05NMFSKAsyS7Zwuu27ks0B+X/rygv45WUT05++qSHeYBTnLO3R4fUQLZcUV4nzfypprQ==" saltValue="RDzl0kMgmRSbp+dVSu7JoA==" spinCount="100000" sheet="1" objects="1" scenarios="1"/>
  <mergeCells count="13">
    <mergeCell ref="J2:K2"/>
    <mergeCell ref="J3:K3"/>
    <mergeCell ref="B31:C31"/>
    <mergeCell ref="B28:C28"/>
    <mergeCell ref="B3:C3"/>
    <mergeCell ref="J4:K5"/>
    <mergeCell ref="L4:L5"/>
    <mergeCell ref="M4:M5"/>
    <mergeCell ref="B41:B43"/>
    <mergeCell ref="C41:C43"/>
    <mergeCell ref="B69:C71"/>
    <mergeCell ref="B44:B46"/>
    <mergeCell ref="C44:C46"/>
  </mergeCells>
  <dataValidations count="19">
    <dataValidation type="whole" allowBlank="1" showInputMessage="1" showErrorMessage="1" sqref="C6:C10" xr:uid="{00000000-0002-0000-0700-000000000000}">
      <formula1>0</formula1>
      <formula2>14</formula2>
    </dataValidation>
    <dataValidation type="whole" allowBlank="1" showInputMessage="1" showErrorMessage="1" sqref="C11" xr:uid="{00000000-0002-0000-0700-000001000000}">
      <formula1>0</formula1>
      <formula2>5</formula2>
    </dataValidation>
    <dataValidation type="decimal" allowBlank="1" showInputMessage="1" showErrorMessage="1" sqref="C4:C5" xr:uid="{00000000-0002-0000-0700-000002000000}">
      <formula1>0</formula1>
      <formula2>100</formula2>
    </dataValidation>
    <dataValidation type="list" allowBlank="1" showInputMessage="1" showErrorMessage="1" sqref="C12" xr:uid="{00000000-0002-0000-0700-000003000000}">
      <formula1>$D$12:$D$19</formula1>
    </dataValidation>
    <dataValidation type="list" allowBlank="1" showInputMessage="1" showErrorMessage="1" sqref="C13" xr:uid="{00000000-0002-0000-0700-000004000000}">
      <formula1>$F$12:$F$18</formula1>
    </dataValidation>
    <dataValidation type="list" allowBlank="1" showInputMessage="1" showErrorMessage="1" sqref="C14" xr:uid="{00000000-0002-0000-0700-000005000000}">
      <formula1>$G$12:$G$16</formula1>
    </dataValidation>
    <dataValidation type="list" allowBlank="1" showInputMessage="1" showErrorMessage="1" sqref="C25 C15:C20 C22:C23 C32 C37 C39 C51 C56 C61 C66 C47" xr:uid="{00000000-0002-0000-0700-000006000000}">
      <formula1>$H$12:$H$13</formula1>
    </dataValidation>
    <dataValidation type="list" allowBlank="1" showInputMessage="1" showErrorMessage="1" sqref="C21" xr:uid="{00000000-0002-0000-0700-000007000000}">
      <formula1>$H$15:$H$20</formula1>
    </dataValidation>
    <dataValidation type="whole" allowBlank="1" showInputMessage="1" showErrorMessage="1" sqref="C24" xr:uid="{00000000-0002-0000-0700-000008000000}">
      <formula1>0</formula1>
      <formula2>30</formula2>
    </dataValidation>
    <dataValidation type="whole" allowBlank="1" showInputMessage="1" showErrorMessage="1" sqref="C26:C27" xr:uid="{00000000-0002-0000-0700-000009000000}">
      <formula1>0</formula1>
      <formula2>10000</formula2>
    </dataValidation>
    <dataValidation type="list" allowBlank="1" showInputMessage="1" showErrorMessage="1" sqref="C29" xr:uid="{00000000-0002-0000-0700-00000B000000}">
      <formula1>$A$35:$A$37</formula1>
    </dataValidation>
    <dataValidation type="whole" allowBlank="1" showInputMessage="1" showErrorMessage="1" sqref="C35" xr:uid="{00000000-0002-0000-0700-00000C000000}">
      <formula1>0</formula1>
      <formula2>100</formula2>
    </dataValidation>
    <dataValidation type="whole" allowBlank="1" showInputMessage="1" showErrorMessage="1" sqref="C36 C40:C41" xr:uid="{00000000-0002-0000-0700-00000D000000}">
      <formula1>0</formula1>
      <formula2>C35</formula2>
    </dataValidation>
    <dataValidation type="whole" allowBlank="1" showInputMessage="1" showErrorMessage="1" sqref="C49 C54 C59 C64" xr:uid="{00000000-0002-0000-0700-00000E000000}">
      <formula1>18</formula1>
      <formula2>130</formula2>
    </dataValidation>
    <dataValidation type="whole" allowBlank="1" showInputMessage="1" showErrorMessage="1" sqref="C52 C57 C62 C67" xr:uid="{00000000-0002-0000-0700-00000F000000}">
      <formula1>0</formula1>
      <formula2>20</formula2>
    </dataValidation>
    <dataValidation type="whole" allowBlank="1" showInputMessage="1" showErrorMessage="1" sqref="C44" xr:uid="{00000000-0002-0000-0700-000010000000}">
      <formula1>0</formula1>
      <formula2>C40</formula2>
    </dataValidation>
    <dataValidation type="list" allowBlank="1" showInputMessage="1" showErrorMessage="1" sqref="C38 C60 C50 C55 C65" xr:uid="{00000000-0002-0000-0700-000011000000}">
      <formula1>$A$38:$A$42</formula1>
    </dataValidation>
    <dataValidation type="list" allowBlank="1" showInputMessage="1" showErrorMessage="1" sqref="B69" xr:uid="{00000000-0002-0000-0700-000012000000}">
      <formula1>$A$68:$A$72</formula1>
    </dataValidation>
    <dataValidation type="whole" allowBlank="1" showInputMessage="1" showErrorMessage="1" sqref="C30" xr:uid="{F8320957-71AC-4936-A2F9-B3B18F8BD43B}">
      <formula1>1980</formula1>
      <formula2>2024</formula2>
    </dataValidation>
  </dataValidations>
  <hyperlinks>
    <hyperlink ref="B2" location="Inicio!A1" display="Ir a inicio" xr:uid="{00000000-0004-0000-0700-000000000000}"/>
  </hyperlink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Orientación Educativa</vt:lpstr>
      <vt:lpstr>Catedráticos EA</vt:lpstr>
      <vt:lpstr>Profesores EA</vt:lpstr>
      <vt:lpstr>Profesores Conservatorios</vt:lpstr>
      <vt:lpstr>Catedráticos Conservatorios</vt:lpstr>
      <vt:lpstr>Profesores EOI</vt:lpstr>
      <vt:lpstr>Datos</vt:lpstr>
      <vt:lpstr>Catedráticos EOI</vt:lpstr>
      <vt:lpstr>Maestros</vt:lpstr>
      <vt:lpstr>Catedráticos Secundaria</vt:lpstr>
      <vt:lpstr>Profesores Secundaria</vt:lpstr>
      <vt:lpstr>Especialistas Sec. Singulares</vt:lpstr>
      <vt:lpstr>PTFP</vt:lpstr>
      <vt:lpstr>Inspectores</vt:lpstr>
      <vt:lpstr>Orientadores</vt:lpstr>
      <vt:lpstr>Inicio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Alfonso Jesús</cp:lastModifiedBy>
  <dcterms:created xsi:type="dcterms:W3CDTF">2023-12-23T06:50:50Z</dcterms:created>
  <dcterms:modified xsi:type="dcterms:W3CDTF">2026-03-10T06:58:34Z</dcterms:modified>
</cp:coreProperties>
</file>